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9\vbahk_staff\Share(TKT)\沙灘排球(本地)\5. 康文盃\2021\"/>
    </mc:Choice>
  </mc:AlternateContent>
  <xr:revisionPtr revIDLastSave="0" documentId="13_ncr:1_{0C5A7FC5-BDC7-4084-A816-B265107A190F}" xr6:coauthVersionLast="47" xr6:coauthVersionMax="47" xr10:uidLastSave="{00000000-0000-0000-0000-000000000000}"/>
  <bookViews>
    <workbookView xWindow="-120" yWindow="-120" windowWidth="29040" windowHeight="15720" tabRatio="500" activeTab="8" xr2:uid="{00000000-000D-0000-FFFF-FFFF00000000}"/>
  </bookViews>
  <sheets>
    <sheet name="須知" sheetId="1" r:id="rId1"/>
    <sheet name="MD" sheetId="2" r:id="rId2"/>
    <sheet name="MQTFormat" sheetId="3" r:id="rId3"/>
    <sheet name="MFormat" sheetId="4" r:id="rId4"/>
    <sheet name="男子賽程" sheetId="5" r:id="rId5"/>
    <sheet name="WD" sheetId="6" r:id="rId6"/>
    <sheet name="WQTFormat" sheetId="7" r:id="rId7"/>
    <sheet name="WFormat" sheetId="8" r:id="rId8"/>
    <sheet name="女子賽程" sheetId="9" r:id="rId9"/>
    <sheet name="TT" sheetId="10" r:id="rId10"/>
  </sheets>
  <definedNames>
    <definedName name="_xlnm._FilterDatabase" localSheetId="1">MD!$E$5:$L$5</definedName>
    <definedName name="_xlnm._FilterDatabase" localSheetId="5">WD!$E$5:$L$5</definedName>
    <definedName name="Excel_BuiltIn__FilterDatabase">WD!$A$5:$U$5</definedName>
    <definedName name="Excel_BuiltIn_Print_Area" localSheetId="2">MQTFormat!$A$1:$N$27</definedName>
    <definedName name="Excel_BuiltIn_Print_Area" localSheetId="6">WQTFormat!$A$1:$N$27</definedName>
    <definedName name="_xlnm.Print_Area" localSheetId="1">MD!$B$1:$O$106</definedName>
    <definedName name="_xlnm.Print_Area" localSheetId="3">MFormat!$A$1:$K$94</definedName>
    <definedName name="_xlnm.Print_Area" localSheetId="2">MQTFormat!$A$1:$J$115</definedName>
    <definedName name="_xlnm.Print_Area" localSheetId="9">TT!$A$1:$P$155</definedName>
    <definedName name="_xlnm.Print_Area" localSheetId="5">WD!$A$1:$O$72</definedName>
    <definedName name="_xlnm.Print_Area" localSheetId="7">WFormat!$B$1:$K$94</definedName>
    <definedName name="_xlnm.Print_Area" localSheetId="6">WQTFormat!$A$1:$J$116</definedName>
    <definedName name="_xlnm.Print_Area" localSheetId="8">女子賽程!$B$1:$O$53</definedName>
    <definedName name="_xlnm.Print_Area" localSheetId="4">男子賽程!$B$1:$O$55</definedName>
    <definedName name="_xlnm.Print_Area" localSheetId="0">須知!$A$1:$E$60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69" i="6" l="1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M53" i="9"/>
  <c r="L53" i="9"/>
  <c r="M52" i="9"/>
  <c r="L52" i="9"/>
  <c r="M51" i="9"/>
  <c r="L51" i="9"/>
  <c r="M50" i="9"/>
  <c r="L50" i="9"/>
  <c r="M49" i="9"/>
  <c r="L49" i="9"/>
  <c r="M48" i="9"/>
  <c r="L48" i="9"/>
  <c r="M44" i="9"/>
  <c r="L44" i="9"/>
  <c r="M41" i="9"/>
  <c r="L41" i="9"/>
  <c r="M39" i="9"/>
  <c r="L39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AD29" i="9"/>
  <c r="W29" i="9"/>
  <c r="M29" i="9"/>
  <c r="L29" i="9"/>
  <c r="AD28" i="9"/>
  <c r="W28" i="9"/>
  <c r="M28" i="9"/>
  <c r="L28" i="9"/>
  <c r="AD27" i="9"/>
  <c r="W27" i="9"/>
  <c r="M27" i="9"/>
  <c r="L27" i="9"/>
  <c r="AD26" i="9"/>
  <c r="W26" i="9"/>
  <c r="M26" i="9"/>
  <c r="L26" i="9"/>
  <c r="M25" i="9"/>
  <c r="L25" i="9"/>
  <c r="M24" i="9"/>
  <c r="L24" i="9"/>
  <c r="AD23" i="9"/>
  <c r="W23" i="9"/>
  <c r="M23" i="9"/>
  <c r="L23" i="9"/>
  <c r="AD22" i="9"/>
  <c r="W22" i="9"/>
  <c r="M22" i="9"/>
  <c r="L22" i="9"/>
  <c r="AD21" i="9"/>
  <c r="W21" i="9"/>
  <c r="M21" i="9"/>
  <c r="L21" i="9"/>
  <c r="AD20" i="9"/>
  <c r="W20" i="9"/>
  <c r="M20" i="9"/>
  <c r="L20" i="9"/>
  <c r="M19" i="9"/>
  <c r="L19" i="9"/>
  <c r="M18" i="9"/>
  <c r="L18" i="9"/>
  <c r="AD17" i="9"/>
  <c r="W17" i="9"/>
  <c r="M17" i="9"/>
  <c r="L17" i="9"/>
  <c r="AD16" i="9"/>
  <c r="W16" i="9"/>
  <c r="M16" i="9"/>
  <c r="L16" i="9"/>
  <c r="AD15" i="9"/>
  <c r="W15" i="9"/>
  <c r="M15" i="9"/>
  <c r="L15" i="9"/>
  <c r="AD14" i="9"/>
  <c r="W14" i="9"/>
  <c r="M14" i="9"/>
  <c r="L14" i="9"/>
  <c r="M13" i="9"/>
  <c r="L13" i="9"/>
  <c r="M12" i="9"/>
  <c r="L12" i="9"/>
  <c r="AD11" i="9"/>
  <c r="W11" i="9"/>
  <c r="M11" i="9"/>
  <c r="L11" i="9"/>
  <c r="AD10" i="9"/>
  <c r="W10" i="9"/>
  <c r="M10" i="9"/>
  <c r="L10" i="9"/>
  <c r="AD9" i="9"/>
  <c r="W9" i="9"/>
  <c r="M9" i="9"/>
  <c r="L9" i="9"/>
  <c r="AD8" i="9"/>
  <c r="W8" i="9"/>
  <c r="M8" i="9"/>
  <c r="L8" i="9"/>
  <c r="M7" i="9"/>
  <c r="L7" i="9"/>
  <c r="M6" i="9"/>
  <c r="L6" i="9"/>
  <c r="B83" i="8"/>
  <c r="B82" i="8"/>
  <c r="B81" i="8"/>
  <c r="B80" i="8"/>
  <c r="B79" i="8"/>
  <c r="B78" i="8"/>
  <c r="B77" i="8"/>
  <c r="B76" i="8"/>
  <c r="B71" i="8"/>
  <c r="D69" i="8" s="1"/>
  <c r="F65" i="8" s="1"/>
  <c r="H71" i="8" s="1"/>
  <c r="J68" i="8" s="1"/>
  <c r="B65" i="8"/>
  <c r="D64" i="8"/>
  <c r="B59" i="8"/>
  <c r="D57" i="8" s="1"/>
  <c r="B50" i="8"/>
  <c r="D52" i="8" s="1"/>
  <c r="F54" i="8" s="1"/>
  <c r="H60" i="8" s="1"/>
  <c r="J47" i="8" s="1"/>
  <c r="B47" i="8"/>
  <c r="D45" i="8" s="1"/>
  <c r="F42" i="8" s="1"/>
  <c r="H65" i="8" s="1"/>
  <c r="D39" i="8"/>
  <c r="B37" i="8"/>
  <c r="B34" i="8"/>
  <c r="D32" i="8"/>
  <c r="B25" i="8"/>
  <c r="D27" i="8" s="1"/>
  <c r="F30" i="8" s="1"/>
  <c r="H36" i="8" s="1"/>
  <c r="C70" i="6"/>
  <c r="L69" i="6"/>
  <c r="C69" i="6"/>
  <c r="L68" i="6"/>
  <c r="C68" i="6"/>
  <c r="L67" i="6"/>
  <c r="C67" i="6"/>
  <c r="L66" i="6"/>
  <c r="C66" i="6"/>
  <c r="L65" i="6"/>
  <c r="C65" i="6"/>
  <c r="L64" i="6"/>
  <c r="C64" i="6"/>
  <c r="L63" i="6"/>
  <c r="C63" i="6"/>
  <c r="L62" i="6"/>
  <c r="C62" i="6"/>
  <c r="L61" i="6"/>
  <c r="C61" i="6"/>
  <c r="L60" i="6"/>
  <c r="C60" i="6"/>
  <c r="L59" i="6"/>
  <c r="C59" i="6"/>
  <c r="L58" i="6"/>
  <c r="C58" i="6"/>
  <c r="L57" i="6"/>
  <c r="C57" i="6"/>
  <c r="L56" i="6"/>
  <c r="C56" i="6"/>
  <c r="L55" i="6"/>
  <c r="C55" i="6"/>
  <c r="L54" i="6"/>
  <c r="C54" i="6"/>
  <c r="L53" i="6"/>
  <c r="C53" i="6"/>
  <c r="L52" i="6"/>
  <c r="C52" i="6"/>
  <c r="L51" i="6"/>
  <c r="C51" i="6"/>
  <c r="L50" i="6"/>
  <c r="C50" i="6"/>
  <c r="L49" i="6"/>
  <c r="C49" i="6"/>
  <c r="L48" i="6"/>
  <c r="C48" i="6"/>
  <c r="L47" i="6"/>
  <c r="C47" i="6"/>
  <c r="L46" i="6"/>
  <c r="C46" i="6"/>
  <c r="L45" i="6"/>
  <c r="C45" i="6"/>
  <c r="L44" i="6"/>
  <c r="C44" i="6"/>
  <c r="L43" i="6"/>
  <c r="C43" i="6"/>
  <c r="L42" i="6"/>
  <c r="C42" i="6"/>
  <c r="L41" i="6"/>
  <c r="C41" i="6"/>
  <c r="L40" i="6"/>
  <c r="C40" i="6"/>
  <c r="L39" i="6"/>
  <c r="C39" i="6"/>
  <c r="L38" i="6"/>
  <c r="C38" i="6"/>
  <c r="L37" i="6"/>
  <c r="C37" i="6"/>
  <c r="L36" i="6"/>
  <c r="C36" i="6"/>
  <c r="L35" i="6"/>
  <c r="C35" i="6"/>
  <c r="L34" i="6"/>
  <c r="C34" i="6"/>
  <c r="L33" i="6"/>
  <c r="C33" i="6"/>
  <c r="L32" i="6"/>
  <c r="C32" i="6"/>
  <c r="L31" i="6"/>
  <c r="C31" i="6"/>
  <c r="L30" i="6"/>
  <c r="C30" i="6"/>
  <c r="L29" i="6"/>
  <c r="C29" i="6"/>
  <c r="L28" i="6"/>
  <c r="C28" i="6"/>
  <c r="L27" i="6"/>
  <c r="C27" i="6"/>
  <c r="L26" i="6"/>
  <c r="C26" i="6"/>
  <c r="L25" i="6"/>
  <c r="C25" i="6"/>
  <c r="L24" i="6"/>
  <c r="C24" i="6"/>
  <c r="L23" i="6"/>
  <c r="C23" i="6"/>
  <c r="L22" i="6"/>
  <c r="C22" i="6"/>
  <c r="L21" i="6"/>
  <c r="C21" i="6"/>
  <c r="L20" i="6"/>
  <c r="C20" i="6"/>
  <c r="L19" i="6"/>
  <c r="C19" i="6"/>
  <c r="L18" i="6"/>
  <c r="C18" i="6"/>
  <c r="L17" i="6"/>
  <c r="C17" i="6"/>
  <c r="L16" i="6"/>
  <c r="C16" i="6"/>
  <c r="L15" i="6"/>
  <c r="C15" i="6"/>
  <c r="L14" i="6"/>
  <c r="C14" i="6"/>
  <c r="L13" i="6"/>
  <c r="C13" i="6"/>
  <c r="L12" i="6"/>
  <c r="C12" i="6"/>
  <c r="L11" i="6"/>
  <c r="C11" i="6"/>
  <c r="L10" i="6"/>
  <c r="C10" i="6"/>
  <c r="L9" i="6"/>
  <c r="C9" i="6"/>
  <c r="L8" i="6"/>
  <c r="C8" i="6"/>
  <c r="L7" i="6"/>
  <c r="C7" i="6"/>
  <c r="L6" i="6"/>
  <c r="C6" i="6"/>
  <c r="E57" i="7" s="1"/>
  <c r="H54" i="5"/>
  <c r="M53" i="5"/>
  <c r="L53" i="5"/>
  <c r="H53" i="5"/>
  <c r="M52" i="5"/>
  <c r="L52" i="5"/>
  <c r="M51" i="5"/>
  <c r="L51" i="5"/>
  <c r="H51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AD28" i="5"/>
  <c r="W28" i="5"/>
  <c r="M28" i="5"/>
  <c r="L28" i="5"/>
  <c r="AD27" i="5"/>
  <c r="W27" i="5"/>
  <c r="M27" i="5"/>
  <c r="L27" i="5"/>
  <c r="AD26" i="5"/>
  <c r="W26" i="5"/>
  <c r="M26" i="5"/>
  <c r="L26" i="5"/>
  <c r="AD25" i="5"/>
  <c r="W25" i="5"/>
  <c r="M25" i="5"/>
  <c r="L25" i="5"/>
  <c r="M24" i="5"/>
  <c r="L24" i="5"/>
  <c r="M23" i="5"/>
  <c r="L23" i="5"/>
  <c r="AD22" i="5"/>
  <c r="W22" i="5"/>
  <c r="M22" i="5"/>
  <c r="L22" i="5"/>
  <c r="AD21" i="5"/>
  <c r="W21" i="5"/>
  <c r="M21" i="5"/>
  <c r="L21" i="5"/>
  <c r="AD20" i="5"/>
  <c r="W20" i="5"/>
  <c r="M20" i="5"/>
  <c r="L20" i="5"/>
  <c r="AD19" i="5"/>
  <c r="W19" i="5"/>
  <c r="M19" i="5"/>
  <c r="L19" i="5"/>
  <c r="M18" i="5"/>
  <c r="L18" i="5"/>
  <c r="M17" i="5"/>
  <c r="L17" i="5"/>
  <c r="AD16" i="5"/>
  <c r="W16" i="5"/>
  <c r="M16" i="5"/>
  <c r="L16" i="5"/>
  <c r="AD15" i="5"/>
  <c r="W15" i="5"/>
  <c r="M15" i="5"/>
  <c r="L15" i="5"/>
  <c r="AD14" i="5"/>
  <c r="W14" i="5"/>
  <c r="M14" i="5"/>
  <c r="L14" i="5"/>
  <c r="AD13" i="5"/>
  <c r="W13" i="5"/>
  <c r="M13" i="5"/>
  <c r="L13" i="5"/>
  <c r="M12" i="5"/>
  <c r="L12" i="5"/>
  <c r="H12" i="5"/>
  <c r="M11" i="5"/>
  <c r="L11" i="5"/>
  <c r="AD10" i="5"/>
  <c r="W10" i="5"/>
  <c r="AD9" i="5"/>
  <c r="W9" i="5"/>
  <c r="M9" i="5"/>
  <c r="L9" i="5"/>
  <c r="H9" i="5"/>
  <c r="AD8" i="5"/>
  <c r="W8" i="5"/>
  <c r="M8" i="5"/>
  <c r="L8" i="5"/>
  <c r="AD7" i="5"/>
  <c r="W7" i="5"/>
  <c r="M7" i="5"/>
  <c r="L7" i="5"/>
  <c r="H7" i="5"/>
  <c r="M6" i="5"/>
  <c r="L6" i="5"/>
  <c r="H6" i="5"/>
  <c r="B83" i="4"/>
  <c r="B62" i="4" s="1"/>
  <c r="B82" i="4"/>
  <c r="B28" i="4" s="1"/>
  <c r="B81" i="4"/>
  <c r="B31" i="4" s="1"/>
  <c r="B80" i="4"/>
  <c r="B68" i="4" s="1"/>
  <c r="B77" i="4"/>
  <c r="B40" i="4" s="1"/>
  <c r="B76" i="4"/>
  <c r="B53" i="4" s="1"/>
  <c r="B71" i="4"/>
  <c r="D69" i="4" s="1"/>
  <c r="F65" i="4" s="1"/>
  <c r="H60" i="4" s="1"/>
  <c r="J47" i="4" s="1"/>
  <c r="B65" i="4"/>
  <c r="D64" i="4" s="1"/>
  <c r="B59" i="4"/>
  <c r="B56" i="4"/>
  <c r="D57" i="4" s="1"/>
  <c r="D52" i="4"/>
  <c r="F54" i="4" s="1"/>
  <c r="H71" i="4" s="1"/>
  <c r="J68" i="4" s="1"/>
  <c r="B44" i="4"/>
  <c r="D45" i="4" s="1"/>
  <c r="B37" i="4"/>
  <c r="D39" i="4" s="1"/>
  <c r="F42" i="4" s="1"/>
  <c r="H36" i="4" s="1"/>
  <c r="B34" i="4"/>
  <c r="D32" i="4" s="1"/>
  <c r="F30" i="4" s="1"/>
  <c r="H65" i="4" s="1"/>
  <c r="B25" i="4"/>
  <c r="D27" i="4" s="1"/>
  <c r="B114" i="3"/>
  <c r="E112" i="3" s="1"/>
  <c r="G110" i="3" s="1"/>
  <c r="I107" i="3" s="1"/>
  <c r="B96" i="3"/>
  <c r="E81" i="3"/>
  <c r="B64" i="3"/>
  <c r="B46" i="3"/>
  <c r="E44" i="3" s="1"/>
  <c r="G43" i="3" s="1"/>
  <c r="E29" i="3"/>
  <c r="G31" i="3" s="1"/>
  <c r="I33" i="3" s="1"/>
  <c r="C105" i="2"/>
  <c r="C102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L68" i="2"/>
  <c r="C68" i="2"/>
  <c r="L67" i="2"/>
  <c r="C67" i="2"/>
  <c r="L66" i="2"/>
  <c r="C66" i="2"/>
  <c r="L65" i="2"/>
  <c r="C65" i="2"/>
  <c r="L64" i="2"/>
  <c r="C64" i="2"/>
  <c r="L63" i="2"/>
  <c r="C63" i="2"/>
  <c r="L62" i="2"/>
  <c r="C62" i="2"/>
  <c r="L61" i="2"/>
  <c r="C61" i="2"/>
  <c r="L60" i="2"/>
  <c r="C60" i="2"/>
  <c r="L59" i="2"/>
  <c r="C59" i="2"/>
  <c r="L58" i="2"/>
  <c r="C58" i="2"/>
  <c r="L57" i="2"/>
  <c r="C57" i="2"/>
  <c r="L56" i="2"/>
  <c r="C56" i="2"/>
  <c r="L55" i="2"/>
  <c r="C55" i="2"/>
  <c r="L54" i="2"/>
  <c r="C54" i="2"/>
  <c r="L53" i="2"/>
  <c r="C53" i="2"/>
  <c r="L52" i="2"/>
  <c r="C52" i="2"/>
  <c r="L51" i="2"/>
  <c r="C51" i="2"/>
  <c r="L50" i="2"/>
  <c r="C50" i="2"/>
  <c r="L49" i="2"/>
  <c r="C49" i="2"/>
  <c r="L48" i="2"/>
  <c r="C48" i="2"/>
  <c r="L47" i="2"/>
  <c r="C47" i="2"/>
  <c r="L46" i="2"/>
  <c r="C46" i="2"/>
  <c r="L45" i="2"/>
  <c r="C45" i="2"/>
  <c r="L44" i="2"/>
  <c r="C44" i="2"/>
  <c r="L43" i="2"/>
  <c r="C43" i="2"/>
  <c r="L42" i="2"/>
  <c r="C42" i="2"/>
  <c r="L41" i="2"/>
  <c r="C41" i="2"/>
  <c r="L40" i="2"/>
  <c r="C40" i="2"/>
  <c r="L39" i="2"/>
  <c r="C39" i="2"/>
  <c r="L38" i="2"/>
  <c r="C38" i="2"/>
  <c r="L37" i="2"/>
  <c r="C37" i="2"/>
  <c r="L36" i="2"/>
  <c r="C36" i="2"/>
  <c r="L35" i="2"/>
  <c r="C35" i="2"/>
  <c r="L34" i="2"/>
  <c r="C34" i="2"/>
  <c r="L33" i="2"/>
  <c r="C33" i="2"/>
  <c r="L32" i="2"/>
  <c r="C32" i="2"/>
  <c r="L31" i="2"/>
  <c r="C31" i="2"/>
  <c r="L30" i="2"/>
  <c r="C30" i="2"/>
  <c r="L29" i="2"/>
  <c r="C29" i="2"/>
  <c r="L28" i="2"/>
  <c r="C28" i="2"/>
  <c r="L27" i="2"/>
  <c r="C27" i="2"/>
  <c r="L26" i="2"/>
  <c r="C26" i="2"/>
  <c r="L25" i="2"/>
  <c r="C25" i="2"/>
  <c r="L24" i="2"/>
  <c r="C24" i="2"/>
  <c r="L23" i="2"/>
  <c r="C23" i="2"/>
  <c r="L22" i="2"/>
  <c r="C22" i="2"/>
  <c r="L21" i="2"/>
  <c r="C21" i="2"/>
  <c r="L20" i="2"/>
  <c r="C20" i="2"/>
  <c r="L19" i="2"/>
  <c r="C19" i="2"/>
  <c r="L18" i="2"/>
  <c r="C18" i="2"/>
  <c r="L17" i="2"/>
  <c r="C17" i="2"/>
  <c r="L16" i="2"/>
  <c r="C16" i="2"/>
  <c r="L15" i="2"/>
  <c r="C15" i="2"/>
  <c r="L14" i="2"/>
  <c r="C14" i="2"/>
  <c r="L13" i="2"/>
  <c r="C13" i="2"/>
  <c r="L12" i="2"/>
  <c r="C12" i="2"/>
  <c r="L11" i="2"/>
  <c r="C11" i="2"/>
  <c r="L10" i="2"/>
  <c r="C10" i="2"/>
  <c r="L9" i="2"/>
  <c r="C9" i="2"/>
  <c r="L8" i="2"/>
  <c r="C8" i="2"/>
  <c r="L7" i="2"/>
  <c r="C7" i="2"/>
  <c r="B86" i="3" s="1"/>
  <c r="E87" i="3" s="1"/>
  <c r="L6" i="2"/>
  <c r="C6" i="2"/>
  <c r="H50" i="5" s="1"/>
  <c r="J20" i="5" l="1"/>
  <c r="H37" i="5"/>
  <c r="B22" i="7"/>
  <c r="E20" i="7" s="1"/>
  <c r="B72" i="7"/>
  <c r="E70" i="7" s="1"/>
  <c r="H29" i="9"/>
  <c r="H50" i="9"/>
  <c r="E35" i="3"/>
  <c r="G36" i="3" s="1"/>
  <c r="E103" i="3"/>
  <c r="G105" i="3" s="1"/>
  <c r="J13" i="5"/>
  <c r="H44" i="5"/>
  <c r="E42" i="7"/>
  <c r="E92" i="7"/>
  <c r="G94" i="7" s="1"/>
  <c r="H24" i="9"/>
  <c r="J29" i="9"/>
  <c r="H32" i="9"/>
  <c r="H40" i="9"/>
  <c r="J50" i="9"/>
  <c r="H10" i="5"/>
  <c r="H18" i="5"/>
  <c r="H34" i="5"/>
  <c r="H41" i="5"/>
  <c r="J44" i="5"/>
  <c r="B44" i="7"/>
  <c r="E60" i="7"/>
  <c r="B94" i="7"/>
  <c r="E95" i="7" s="1"/>
  <c r="J7" i="9"/>
  <c r="H17" i="9"/>
  <c r="H22" i="9"/>
  <c r="H27" i="9"/>
  <c r="J32" i="9"/>
  <c r="H41" i="9"/>
  <c r="H46" i="9"/>
  <c r="H33" i="5"/>
  <c r="E17" i="3"/>
  <c r="H15" i="5"/>
  <c r="H30" i="5"/>
  <c r="J47" i="5"/>
  <c r="B40" i="7"/>
  <c r="E38" i="7" s="1"/>
  <c r="G36" i="7" s="1"/>
  <c r="B90" i="7"/>
  <c r="E88" i="7" s="1"/>
  <c r="J19" i="9"/>
  <c r="J35" i="9"/>
  <c r="B19" i="3"/>
  <c r="E20" i="3" s="1"/>
  <c r="G19" i="3" s="1"/>
  <c r="E53" i="3"/>
  <c r="G55" i="3" s="1"/>
  <c r="J37" i="5"/>
  <c r="H52" i="5"/>
  <c r="E23" i="7"/>
  <c r="E73" i="7"/>
  <c r="E110" i="7"/>
  <c r="G111" i="7" s="1"/>
  <c r="H7" i="9"/>
  <c r="H45" i="9"/>
  <c r="E38" i="3"/>
  <c r="E56" i="3"/>
  <c r="B71" i="3"/>
  <c r="E69" i="3" s="1"/>
  <c r="B89" i="3"/>
  <c r="E106" i="3"/>
  <c r="H8" i="5"/>
  <c r="H23" i="5"/>
  <c r="H28" i="5"/>
  <c r="H31" i="5"/>
  <c r="J41" i="5"/>
  <c r="H48" i="5"/>
  <c r="E26" i="7"/>
  <c r="G24" i="7" s="1"/>
  <c r="E76" i="7"/>
  <c r="G74" i="7" s="1"/>
  <c r="I71" i="7" s="1"/>
  <c r="B112" i="7"/>
  <c r="E113" i="7" s="1"/>
  <c r="H12" i="9"/>
  <c r="J17" i="9"/>
  <c r="H20" i="9"/>
  <c r="H36" i="9"/>
  <c r="J41" i="9"/>
  <c r="H47" i="9"/>
  <c r="E100" i="3"/>
  <c r="E41" i="3"/>
  <c r="E72" i="3"/>
  <c r="E91" i="3"/>
  <c r="G93" i="3" s="1"/>
  <c r="J8" i="5"/>
  <c r="J23" i="5"/>
  <c r="H26" i="5"/>
  <c r="J31" i="5"/>
  <c r="H38" i="5"/>
  <c r="E29" i="7"/>
  <c r="G31" i="7" s="1"/>
  <c r="I33" i="7" s="1"/>
  <c r="B62" i="7"/>
  <c r="E63" i="7" s="1"/>
  <c r="G61" i="7" s="1"/>
  <c r="E79" i="7"/>
  <c r="G81" i="7" s="1"/>
  <c r="H10" i="9"/>
  <c r="H15" i="9"/>
  <c r="J20" i="9"/>
  <c r="H25" i="9"/>
  <c r="J47" i="9"/>
  <c r="H51" i="9"/>
  <c r="B22" i="3"/>
  <c r="B43" i="3"/>
  <c r="E59" i="3"/>
  <c r="G60" i="3" s="1"/>
  <c r="I57" i="3" s="1"/>
  <c r="B93" i="3"/>
  <c r="E94" i="3" s="1"/>
  <c r="E109" i="3"/>
  <c r="H11" i="5"/>
  <c r="H16" i="5"/>
  <c r="H19" i="5"/>
  <c r="H21" i="5"/>
  <c r="J26" i="5"/>
  <c r="H35" i="5"/>
  <c r="J38" i="5"/>
  <c r="H45" i="5"/>
  <c r="J53" i="5"/>
  <c r="B97" i="7"/>
  <c r="B115" i="7"/>
  <c r="H8" i="9"/>
  <c r="J25" i="9"/>
  <c r="H33" i="9"/>
  <c r="H48" i="9"/>
  <c r="E47" i="3"/>
  <c r="H17" i="5"/>
  <c r="B68" i="3"/>
  <c r="J25" i="5"/>
  <c r="J11" i="5"/>
  <c r="H14" i="5"/>
  <c r="J19" i="5"/>
  <c r="J35" i="5"/>
  <c r="H42" i="5"/>
  <c r="H49" i="5"/>
  <c r="E32" i="7"/>
  <c r="B47" i="7"/>
  <c r="E45" i="7" s="1"/>
  <c r="G44" i="7" s="1"/>
  <c r="I46" i="7" s="1"/>
  <c r="B65" i="7"/>
  <c r="E82" i="7"/>
  <c r="E98" i="7"/>
  <c r="G99" i="7" s="1"/>
  <c r="J8" i="9"/>
  <c r="H13" i="9"/>
  <c r="H30" i="9"/>
  <c r="H37" i="9"/>
  <c r="H42" i="9"/>
  <c r="E66" i="3"/>
  <c r="G68" i="3" s="1"/>
  <c r="I70" i="3" s="1"/>
  <c r="B87" i="7"/>
  <c r="E84" i="3"/>
  <c r="G85" i="3" s="1"/>
  <c r="I82" i="3" s="1"/>
  <c r="H40" i="5"/>
  <c r="E23" i="3"/>
  <c r="G24" i="3" s="1"/>
  <c r="I21" i="3" s="1"/>
  <c r="H52" i="9"/>
  <c r="E97" i="3"/>
  <c r="G98" i="3" s="1"/>
  <c r="I95" i="3" s="1"/>
  <c r="J43" i="5"/>
  <c r="H20" i="5"/>
  <c r="E50" i="3"/>
  <c r="G48" i="3" s="1"/>
  <c r="I45" i="3" s="1"/>
  <c r="E75" i="3"/>
  <c r="G73" i="3" s="1"/>
  <c r="B61" i="3"/>
  <c r="E62" i="3" s="1"/>
  <c r="E78" i="3"/>
  <c r="G80" i="3" s="1"/>
  <c r="B111" i="3"/>
  <c r="J14" i="5"/>
  <c r="H24" i="5"/>
  <c r="H32" i="5"/>
  <c r="J49" i="5"/>
  <c r="E17" i="7"/>
  <c r="G19" i="7" s="1"/>
  <c r="I21" i="7" s="1"/>
  <c r="E48" i="7"/>
  <c r="E67" i="7"/>
  <c r="G69" i="7" s="1"/>
  <c r="J13" i="9"/>
  <c r="H23" i="9"/>
  <c r="H28" i="9"/>
  <c r="J37" i="9"/>
  <c r="H43" i="9"/>
  <c r="E26" i="3"/>
  <c r="H29" i="5"/>
  <c r="J32" i="5"/>
  <c r="H39" i="5"/>
  <c r="H46" i="5"/>
  <c r="B19" i="7"/>
  <c r="E35" i="7"/>
  <c r="B69" i="7"/>
  <c r="E85" i="7"/>
  <c r="G86" i="7" s="1"/>
  <c r="I83" i="7" s="1"/>
  <c r="E101" i="7"/>
  <c r="H18" i="9"/>
  <c r="J23" i="9"/>
  <c r="H26" i="9"/>
  <c r="H34" i="9"/>
  <c r="H38" i="9"/>
  <c r="J43" i="9"/>
  <c r="H49" i="9"/>
  <c r="J29" i="5"/>
  <c r="H36" i="5"/>
  <c r="H43" i="5"/>
  <c r="J50" i="5"/>
  <c r="J54" i="5"/>
  <c r="E51" i="7"/>
  <c r="G49" i="7" s="1"/>
  <c r="E104" i="7"/>
  <c r="H11" i="9"/>
  <c r="H16" i="9"/>
  <c r="H21" i="9"/>
  <c r="J26" i="9"/>
  <c r="H31" i="9"/>
  <c r="J38" i="9"/>
  <c r="H44" i="9"/>
  <c r="J49" i="9"/>
  <c r="H27" i="5"/>
  <c r="E54" i="7"/>
  <c r="G56" i="7" s="1"/>
  <c r="I58" i="7" s="1"/>
  <c r="H6" i="9"/>
  <c r="J11" i="9"/>
  <c r="H14" i="9"/>
  <c r="J31" i="9"/>
  <c r="H39" i="9"/>
  <c r="J44" i="9"/>
  <c r="H53" i="9"/>
  <c r="J7" i="5"/>
  <c r="H25" i="5"/>
  <c r="B37" i="7"/>
  <c r="H47" i="5"/>
  <c r="E107" i="7"/>
  <c r="G106" i="7" s="1"/>
  <c r="I108" i="7" s="1"/>
  <c r="H9" i="9"/>
  <c r="J14" i="9"/>
  <c r="H19" i="9"/>
  <c r="H35" i="9"/>
  <c r="J53" i="9"/>
  <c r="H22" i="5"/>
  <c r="E32" i="3"/>
  <c r="J17" i="5"/>
  <c r="H13" i="5"/>
</calcChain>
</file>

<file path=xl/sharedStrings.xml><?xml version="1.0" encoding="utf-8"?>
<sst xmlns="http://schemas.openxmlformats.org/spreadsheetml/2006/main" count="3051" uniqueCount="1287">
  <si>
    <t xml:space="preserve"> 2021 康文盃沙灘排球公開賽</t>
  </si>
  <si>
    <t>比賽須知</t>
  </si>
  <si>
    <t>報　　到</t>
  </si>
  <si>
    <t>所有參賽隊伍須於規定時間前15分鐘，向司令台報到。</t>
  </si>
  <si>
    <t>如發現冒名頂替者，則其球隊之比賽資格及所得成績分將被取消。</t>
  </si>
  <si>
    <t>比賽制服</t>
  </si>
  <si>
    <t>比賽隊伍必須穿著比賽制服</t>
  </si>
  <si>
    <t>比賽規則</t>
  </si>
  <si>
    <t>採用國際排球協會最新之沙灘排球現規則，網高及球場面積如下：</t>
  </si>
  <si>
    <t>男子網高2.43米，女子網高2.24米</t>
  </si>
  <si>
    <t xml:space="preserve">球場：16米x 8米；半場8米x 8米 </t>
  </si>
  <si>
    <t>小組賽兩局制，每球得分制，需至少領前兩分為勝1局，並無上限分.每勝一場得3分，每負一場得0分，平手各得1分。</t>
  </si>
  <si>
    <t>複賽三局兩勝制，每球得分制，需至少領前兩分為勝1局，並無上限分。</t>
  </si>
  <si>
    <r>
      <rPr>
        <sz val="11"/>
        <rFont val="Microsoft YaHei"/>
        <family val="2"/>
        <charset val="136"/>
      </rPr>
      <t>一</t>
    </r>
    <r>
      <rPr>
        <sz val="11"/>
        <rFont val="Calibri"/>
        <family val="2"/>
        <charset val="1"/>
      </rPr>
      <t>,</t>
    </r>
    <r>
      <rPr>
        <sz val="11"/>
        <rFont val="Microsoft YaHei"/>
        <family val="2"/>
        <charset val="136"/>
      </rPr>
      <t>二局每累積</t>
    </r>
    <r>
      <rPr>
        <sz val="11"/>
        <rFont val="Calibri"/>
        <family val="2"/>
        <charset val="1"/>
      </rPr>
      <t>7</t>
    </r>
    <r>
      <rPr>
        <sz val="11"/>
        <rFont val="Microsoft YaHei"/>
        <family val="2"/>
        <charset val="136"/>
      </rPr>
      <t>分</t>
    </r>
    <r>
      <rPr>
        <sz val="11"/>
        <rFont val="Calibri"/>
        <family val="2"/>
        <charset val="1"/>
      </rPr>
      <t>,</t>
    </r>
    <r>
      <rPr>
        <sz val="11"/>
        <rFont val="Microsoft YaHei"/>
        <family val="2"/>
        <charset val="136"/>
      </rPr>
      <t>決勝局每累積</t>
    </r>
    <r>
      <rPr>
        <sz val="11"/>
        <rFont val="Calibri"/>
        <family val="2"/>
        <charset val="1"/>
      </rPr>
      <t>5</t>
    </r>
    <r>
      <rPr>
        <sz val="11"/>
        <rFont val="Microsoft YaHei"/>
        <family val="2"/>
        <charset val="136"/>
      </rPr>
      <t>分交換場地作賽</t>
    </r>
  </si>
  <si>
    <r>
      <rPr>
        <sz val="11"/>
        <rFont val="Microsoft YaHei"/>
        <family val="2"/>
        <charset val="136"/>
      </rPr>
      <t>每隊每局一次暫停，限時</t>
    </r>
    <r>
      <rPr>
        <sz val="11"/>
        <rFont val="Calibri"/>
        <family val="2"/>
        <charset val="136"/>
      </rPr>
      <t>30</t>
    </r>
    <r>
      <rPr>
        <sz val="11"/>
        <rFont val="Microsoft YaHei"/>
        <family val="2"/>
        <charset val="136"/>
      </rPr>
      <t>秒，只有隊長方可要求暫停</t>
    </r>
  </si>
  <si>
    <r>
      <rPr>
        <sz val="11"/>
        <rFont val="Microsoft YaHei"/>
        <family val="2"/>
        <charset val="136"/>
      </rPr>
      <t>技術暫停：只設於一</t>
    </r>
    <r>
      <rPr>
        <sz val="11"/>
        <rFont val="Calibri"/>
        <family val="2"/>
        <charset val="136"/>
      </rPr>
      <t>,</t>
    </r>
    <r>
      <rPr>
        <sz val="11"/>
        <rFont val="Microsoft YaHei"/>
        <family val="2"/>
        <charset val="136"/>
      </rPr>
      <t>二局，兩隊得分總和</t>
    </r>
    <r>
      <rPr>
        <sz val="11"/>
        <rFont val="Calibri"/>
        <family val="2"/>
        <charset val="136"/>
      </rPr>
      <t>21</t>
    </r>
    <r>
      <rPr>
        <sz val="11"/>
        <rFont val="Microsoft YaHei"/>
        <family val="2"/>
        <charset val="136"/>
      </rPr>
      <t>分時自動執行，限時</t>
    </r>
    <r>
      <rPr>
        <sz val="11"/>
        <rFont val="Calibri"/>
        <family val="2"/>
        <charset val="136"/>
      </rPr>
      <t>30</t>
    </r>
    <r>
      <rPr>
        <sz val="11"/>
        <rFont val="Microsoft YaHei"/>
        <family val="2"/>
        <charset val="136"/>
      </rPr>
      <t>秒。</t>
    </r>
  </si>
  <si>
    <t>球員不可用上手手指﹝虛攻﹞完成攻擊性擊球</t>
  </si>
  <si>
    <t>凡 NO SHOW 將不獲積分</t>
  </si>
  <si>
    <t>每次轉場都有短暫的飲水時間 (To permit quick water breaks at side changes)</t>
  </si>
  <si>
    <t>Competition Information</t>
  </si>
  <si>
    <t xml:space="preserve">Report </t>
  </si>
  <si>
    <t>Teams should report to the competition organizer 15 minutes before the competition.</t>
  </si>
  <si>
    <t>All results will be deleted if unlawful player has been found.</t>
  </si>
  <si>
    <t>Uniform</t>
  </si>
  <si>
    <t>Players in a team should wear identical uniform with visible number 1 &amp; 2 on front and back side of players’uniform</t>
  </si>
  <si>
    <t>Rules</t>
  </si>
  <si>
    <t xml:space="preserve">Beach volleyball official rules from FIVB will be adopted throughout the game. </t>
  </si>
  <si>
    <t>Dimensions of playing area and height of the net are as follow:</t>
  </si>
  <si>
    <t>Playing area: 16m x 8m</t>
  </si>
  <si>
    <t>A Grade Men's net: 2.43m ;B Grade Men's net: 2.35m ;A Grade Women's net: 2.24m;B Grade Women's net: 2.20m</t>
  </si>
  <si>
    <t xml:space="preserve">A match would be won by team that wins two sets with each of them having a minimum lead of 2 points. </t>
  </si>
  <si>
    <t>In the case of 1-1 ties, the deciding set (the 3rd) is played to 15 points with a minimum lead of 2 points.</t>
  </si>
  <si>
    <t>Court switch would be taken place after every 7 points (Set 1 and 2)  and 5 points (Set 3) played</t>
  </si>
  <si>
    <t xml:space="preserve">Each team is entitled to a maximum of one time-out per set. Each time-out lasts for 30 seconds and could be called by either of the players </t>
  </si>
  <si>
    <t>Technical Time-out: in sets 1 and 2, one additional 30 second Technical Time-out</t>
  </si>
  <si>
    <t xml:space="preserve">is automatically allocated when the sum of the points scored by the teams equals 21 points.  </t>
  </si>
  <si>
    <t>A player completes an attack-hit using an “open-handed tip or dink” directing the ball</t>
  </si>
  <si>
    <t>with the fingers would be considered as a attack-hit fault</t>
  </si>
  <si>
    <t>Knock out system &amp; best of 3 system will be adopted in the final round and QT</t>
  </si>
  <si>
    <t xml:space="preserve">For Preliminary Round, all the games are in 2 sets </t>
  </si>
  <si>
    <t>No points will be given for those "no show"</t>
  </si>
  <si>
    <t>Mens' net: 2.43m ; Womens' net: 2.24m</t>
  </si>
  <si>
    <t>in case of 1-1 ties, the deciding set (the 3rd) is played to 15 points with a minimum lead of 2 points.</t>
  </si>
  <si>
    <t>Each team is entitled to a maximum of one time-out per set. Each time-out lasts for 30 seconds and could be called by captain</t>
  </si>
  <si>
    <t>第一階段：小組單循環比賽</t>
  </si>
  <si>
    <t>Seeding List (table 2)</t>
  </si>
  <si>
    <r>
      <rPr>
        <b/>
        <sz val="14"/>
        <color rgb="FF0000FF"/>
        <rFont val="Microsoft YaHei"/>
        <family val="2"/>
        <charset val="136"/>
      </rPr>
      <t>種子隊名單</t>
    </r>
    <r>
      <rPr>
        <b/>
        <sz val="14"/>
        <color rgb="FF0000FF"/>
        <rFont val="Calibri"/>
        <family val="2"/>
        <charset val="1"/>
      </rPr>
      <t>(</t>
    </r>
    <r>
      <rPr>
        <b/>
        <sz val="14"/>
        <color rgb="FF0000FF"/>
        <rFont val="Microsoft YaHei"/>
        <family val="2"/>
        <charset val="136"/>
      </rPr>
      <t>表二</t>
    </r>
    <r>
      <rPr>
        <b/>
        <sz val="14"/>
        <color rgb="FF0000FF"/>
        <rFont val="Calibri"/>
        <family val="2"/>
        <charset val="1"/>
      </rPr>
      <t>)</t>
    </r>
  </si>
  <si>
    <t>種子編號</t>
  </si>
  <si>
    <t xml:space="preserve">Read </t>
  </si>
  <si>
    <t>Team</t>
  </si>
  <si>
    <t>Team Name</t>
  </si>
  <si>
    <t>Ind.</t>
  </si>
  <si>
    <t>積分</t>
  </si>
  <si>
    <t>DRAW RESULT</t>
  </si>
  <si>
    <t>SEED NO.</t>
  </si>
  <si>
    <t>抽籤結果</t>
  </si>
  <si>
    <t>Seeding</t>
  </si>
  <si>
    <t>隊名</t>
  </si>
  <si>
    <r>
      <rPr>
        <b/>
        <sz val="14"/>
        <rFont val="Microsoft YaHei"/>
        <family val="2"/>
        <charset val="136"/>
      </rPr>
      <t>球員</t>
    </r>
    <r>
      <rPr>
        <b/>
        <sz val="14"/>
        <rFont val="Calibri"/>
        <family val="2"/>
        <charset val="1"/>
      </rPr>
      <t>1</t>
    </r>
  </si>
  <si>
    <t>註冊編號</t>
  </si>
  <si>
    <t>Points</t>
  </si>
  <si>
    <r>
      <rPr>
        <b/>
        <sz val="14"/>
        <rFont val="Microsoft YaHei"/>
        <family val="2"/>
        <charset val="136"/>
      </rPr>
      <t>球員</t>
    </r>
    <r>
      <rPr>
        <b/>
        <sz val="14"/>
        <rFont val="Calibri"/>
        <family val="2"/>
        <charset val="1"/>
      </rPr>
      <t>2</t>
    </r>
  </si>
  <si>
    <t>備註</t>
  </si>
  <si>
    <t>球隊積分</t>
  </si>
  <si>
    <t>球員積分</t>
  </si>
  <si>
    <t>2R</t>
  </si>
  <si>
    <t>黃俊偉</t>
  </si>
  <si>
    <t>M112</t>
  </si>
  <si>
    <t>黃冠邦</t>
  </si>
  <si>
    <t>M202</t>
  </si>
  <si>
    <t>A1</t>
  </si>
  <si>
    <r>
      <rPr>
        <sz val="14"/>
        <rFont val="Microsoft YaHei"/>
        <family val="2"/>
        <charset val="136"/>
      </rPr>
      <t>仁濟</t>
    </r>
    <r>
      <rPr>
        <sz val="14"/>
        <rFont val="Calibri"/>
        <family val="2"/>
        <charset val="1"/>
      </rPr>
      <t>-ALPS</t>
    </r>
  </si>
  <si>
    <t>林琪豐</t>
  </si>
  <si>
    <t>M624</t>
  </si>
  <si>
    <t>王沛林</t>
  </si>
  <si>
    <t>M227</t>
  </si>
  <si>
    <t>B1</t>
  </si>
  <si>
    <t>ALPS - TANGWO</t>
  </si>
  <si>
    <t>謝鍵泓</t>
  </si>
  <si>
    <t>M762</t>
  </si>
  <si>
    <t>黃嘉潤</t>
  </si>
  <si>
    <t>M556</t>
  </si>
  <si>
    <t>C1</t>
  </si>
  <si>
    <t>ALPS - LC</t>
  </si>
  <si>
    <t>張綽航</t>
  </si>
  <si>
    <t>M639</t>
  </si>
  <si>
    <t>李俊傑</t>
  </si>
  <si>
    <t>M676</t>
  </si>
  <si>
    <t>D1</t>
  </si>
  <si>
    <t>SBDW</t>
  </si>
  <si>
    <t>蔡偉傑</t>
  </si>
  <si>
    <t>M205</t>
  </si>
  <si>
    <t>王龍</t>
  </si>
  <si>
    <t>M561</t>
  </si>
  <si>
    <t>E1</t>
  </si>
  <si>
    <t>ALPS - SKTL</t>
  </si>
  <si>
    <t>廖樞麒</t>
  </si>
  <si>
    <t>M552</t>
  </si>
  <si>
    <t>余天樂</t>
  </si>
  <si>
    <t>M342</t>
  </si>
  <si>
    <t>F1</t>
  </si>
  <si>
    <t>ALPS Handshake</t>
  </si>
  <si>
    <t>簡詩恆</t>
  </si>
  <si>
    <t>M891</t>
  </si>
  <si>
    <t>黃震</t>
  </si>
  <si>
    <t>M907</t>
  </si>
  <si>
    <t>G1</t>
  </si>
  <si>
    <r>
      <rPr>
        <sz val="14"/>
        <rFont val="Calibri"/>
        <family val="2"/>
        <charset val="1"/>
      </rPr>
      <t>ALPS-</t>
    </r>
    <r>
      <rPr>
        <sz val="14"/>
        <rFont val="Microsoft YaHei"/>
        <family val="2"/>
        <charset val="136"/>
      </rPr>
      <t>咪估</t>
    </r>
  </si>
  <si>
    <t>劉卓然</t>
  </si>
  <si>
    <t>M934</t>
  </si>
  <si>
    <t>古顯庭</t>
  </si>
  <si>
    <t>M331</t>
  </si>
  <si>
    <t>H1</t>
  </si>
  <si>
    <r>
      <rPr>
        <sz val="14"/>
        <rFont val="Calibri"/>
        <family val="2"/>
        <charset val="1"/>
      </rPr>
      <t xml:space="preserve">SCAA - </t>
    </r>
    <r>
      <rPr>
        <sz val="14"/>
        <rFont val="Microsoft YaHei"/>
        <family val="2"/>
        <charset val="136"/>
      </rPr>
      <t>龖</t>
    </r>
  </si>
  <si>
    <t>林惠龍</t>
  </si>
  <si>
    <t>M744</t>
  </si>
  <si>
    <t>徐錦龍</t>
  </si>
  <si>
    <t>M323</t>
  </si>
  <si>
    <t>H2</t>
  </si>
  <si>
    <t xml:space="preserve">Ivan &amp; Pak </t>
  </si>
  <si>
    <t>雲維華</t>
  </si>
  <si>
    <t>M798</t>
  </si>
  <si>
    <t>林柏均</t>
  </si>
  <si>
    <t>M179</t>
  </si>
  <si>
    <t>G2</t>
  </si>
  <si>
    <t>ALPS-CheapDrink</t>
  </si>
  <si>
    <t>陳樂恆</t>
  </si>
  <si>
    <t>M670</t>
  </si>
  <si>
    <t>陳嘉浩</t>
  </si>
  <si>
    <t>M750</t>
  </si>
  <si>
    <t>F2</t>
  </si>
  <si>
    <r>
      <rPr>
        <sz val="14"/>
        <rFont val="Calibri"/>
        <family val="2"/>
        <charset val="1"/>
      </rPr>
      <t xml:space="preserve">ALPS </t>
    </r>
    <r>
      <rPr>
        <sz val="14"/>
        <rFont val="Microsoft YaHei"/>
        <family val="2"/>
        <charset val="136"/>
      </rPr>
      <t>大埔</t>
    </r>
  </si>
  <si>
    <t>譚洭倫</t>
  </si>
  <si>
    <t>M514</t>
  </si>
  <si>
    <t>勞永鏗</t>
  </si>
  <si>
    <t>M667</t>
  </si>
  <si>
    <t>E2</t>
  </si>
  <si>
    <t>SCAA LM</t>
  </si>
  <si>
    <t>柳凱富</t>
  </si>
  <si>
    <t>M806</t>
  </si>
  <si>
    <t>黃英彰</t>
  </si>
  <si>
    <t xml:space="preserve">M931 </t>
  </si>
  <si>
    <t>D2</t>
  </si>
  <si>
    <r>
      <rPr>
        <sz val="14"/>
        <rFont val="Calibri"/>
        <family val="2"/>
        <charset val="1"/>
      </rPr>
      <t>ALPS - 9</t>
    </r>
    <r>
      <rPr>
        <sz val="14"/>
        <rFont val="Microsoft YaHei"/>
        <family val="2"/>
        <charset val="136"/>
      </rPr>
      <t>號烈峰或</t>
    </r>
    <r>
      <rPr>
        <sz val="14"/>
        <rFont val="Calibri"/>
        <family val="2"/>
        <charset val="1"/>
      </rPr>
      <t>PO</t>
    </r>
    <r>
      <rPr>
        <sz val="14"/>
        <rFont val="Microsoft YaHei"/>
        <family val="2"/>
        <charset val="136"/>
      </rPr>
      <t>峰信號</t>
    </r>
  </si>
  <si>
    <t>饒明淦</t>
  </si>
  <si>
    <t>M751</t>
  </si>
  <si>
    <t>李烈峰</t>
  </si>
  <si>
    <t>M899</t>
  </si>
  <si>
    <t>C2</t>
  </si>
  <si>
    <r>
      <rPr>
        <sz val="14"/>
        <rFont val="Microsoft YaHei"/>
        <family val="2"/>
        <charset val="136"/>
      </rPr>
      <t>我要買</t>
    </r>
    <r>
      <rPr>
        <sz val="14"/>
        <rFont val="Calibri"/>
        <family val="2"/>
        <charset val="1"/>
      </rPr>
      <t>G63</t>
    </r>
  </si>
  <si>
    <t>李宇煌</t>
  </si>
  <si>
    <t>M330</t>
  </si>
  <si>
    <t>葉志誠</t>
  </si>
  <si>
    <t>M802</t>
  </si>
  <si>
    <t>B2</t>
  </si>
  <si>
    <t>熱情的麻鷹</t>
  </si>
  <si>
    <t>李健禧</t>
  </si>
  <si>
    <t>M843</t>
  </si>
  <si>
    <t>張永暉</t>
  </si>
  <si>
    <t>M887</t>
  </si>
  <si>
    <t>A2</t>
  </si>
  <si>
    <t>BALLMING</t>
  </si>
  <si>
    <t>陳葆霖</t>
  </si>
  <si>
    <t>M983</t>
  </si>
  <si>
    <t>張澔銘</t>
  </si>
  <si>
    <t>M984</t>
  </si>
  <si>
    <t>A3</t>
  </si>
  <si>
    <t>SA</t>
  </si>
  <si>
    <t>丘至剛</t>
  </si>
  <si>
    <t>M550</t>
  </si>
  <si>
    <t>杜顯陞</t>
  </si>
  <si>
    <t>M214</t>
  </si>
  <si>
    <t>B3</t>
  </si>
  <si>
    <t>消防處</t>
  </si>
  <si>
    <t>張志坤</t>
  </si>
  <si>
    <t>M332</t>
  </si>
  <si>
    <t>鄧耀文</t>
  </si>
  <si>
    <t>M279</t>
  </si>
  <si>
    <t>C3</t>
  </si>
  <si>
    <t>撈碧鵰</t>
  </si>
  <si>
    <t>陳暐晴</t>
  </si>
  <si>
    <t>M642</t>
  </si>
  <si>
    <t>黃志傑</t>
  </si>
  <si>
    <t>M704</t>
  </si>
  <si>
    <t>D3</t>
  </si>
  <si>
    <t>北極熊</t>
  </si>
  <si>
    <t>林敬淳</t>
  </si>
  <si>
    <t>M187</t>
  </si>
  <si>
    <t>張淦邦</t>
  </si>
  <si>
    <t>M184</t>
  </si>
  <si>
    <t>E3</t>
  </si>
  <si>
    <t>ALPS - SC</t>
  </si>
  <si>
    <t>蘇俊傑</t>
  </si>
  <si>
    <t>M895</t>
  </si>
  <si>
    <t>廖家勤</t>
  </si>
  <si>
    <t>M625</t>
  </si>
  <si>
    <t>F3</t>
  </si>
  <si>
    <r>
      <rPr>
        <sz val="14"/>
        <rFont val="Microsoft YaHei"/>
        <family val="2"/>
        <charset val="136"/>
      </rPr>
      <t>西到</t>
    </r>
    <r>
      <rPr>
        <sz val="14"/>
        <rFont val="Calibri"/>
        <family val="2"/>
        <charset val="1"/>
      </rPr>
      <t>2046</t>
    </r>
  </si>
  <si>
    <t>梁景嵐</t>
  </si>
  <si>
    <t>M829</t>
  </si>
  <si>
    <t>馬朗青</t>
  </si>
  <si>
    <t>M727</t>
  </si>
  <si>
    <t>G3</t>
  </si>
  <si>
    <t>G3, H3</t>
  </si>
  <si>
    <t>仁仔</t>
  </si>
  <si>
    <t>張竣棓</t>
  </si>
  <si>
    <t>M940</t>
  </si>
  <si>
    <t>陳銘琛</t>
  </si>
  <si>
    <t>M986</t>
  </si>
  <si>
    <t>H3</t>
  </si>
  <si>
    <t>食三番包十番</t>
  </si>
  <si>
    <t>郭家俊</t>
  </si>
  <si>
    <t>M790</t>
  </si>
  <si>
    <t>陳朗晞</t>
  </si>
  <si>
    <t>M950</t>
  </si>
  <si>
    <t>SEED#25</t>
  </si>
  <si>
    <r>
      <rPr>
        <sz val="14"/>
        <rFont val="Microsoft YaHei"/>
        <family val="2"/>
        <charset val="136"/>
      </rPr>
      <t>隨心</t>
    </r>
    <r>
      <rPr>
        <sz val="14"/>
        <rFont val="Calibri"/>
        <family val="2"/>
        <charset val="1"/>
      </rPr>
      <t>96</t>
    </r>
  </si>
  <si>
    <t>張俊彥</t>
  </si>
  <si>
    <t>M719</t>
  </si>
  <si>
    <t>譚錦鴻</t>
  </si>
  <si>
    <t>M814</t>
  </si>
  <si>
    <t>SEED#26</t>
  </si>
  <si>
    <t>ALPS-Brazil</t>
  </si>
  <si>
    <t>李梓恆</t>
  </si>
  <si>
    <t>M568</t>
  </si>
  <si>
    <t>劉健燊</t>
  </si>
  <si>
    <t>M961</t>
  </si>
  <si>
    <t>SEED#27</t>
  </si>
  <si>
    <t>JC</t>
  </si>
  <si>
    <t>林耀宗</t>
  </si>
  <si>
    <t>M963</t>
  </si>
  <si>
    <t>譚嘉輝</t>
  </si>
  <si>
    <t>M570</t>
  </si>
  <si>
    <t>SEED#28</t>
  </si>
  <si>
    <t>HKUST</t>
  </si>
  <si>
    <t>陳信珩</t>
  </si>
  <si>
    <t>M969</t>
  </si>
  <si>
    <t>李泯其</t>
  </si>
  <si>
    <t>M165</t>
  </si>
  <si>
    <t>SEED#29</t>
  </si>
  <si>
    <t>小矮人</t>
  </si>
  <si>
    <t>莫皓智</t>
  </si>
  <si>
    <t>M906</t>
  </si>
  <si>
    <t>張智行</t>
  </si>
  <si>
    <t>M729</t>
  </si>
  <si>
    <t>SEED#30</t>
  </si>
  <si>
    <t>咩都好</t>
  </si>
  <si>
    <t>黎正邦</t>
  </si>
  <si>
    <t>M611</t>
  </si>
  <si>
    <t>關梓烽</t>
  </si>
  <si>
    <t>M890</t>
  </si>
  <si>
    <t>SEED#31</t>
  </si>
  <si>
    <t>LKT</t>
  </si>
  <si>
    <t>程文達</t>
  </si>
  <si>
    <t>M224</t>
  </si>
  <si>
    <t>陳承章</t>
  </si>
  <si>
    <t>NEW</t>
  </si>
  <si>
    <t>SEED#32</t>
  </si>
  <si>
    <r>
      <rPr>
        <sz val="14"/>
        <rFont val="Microsoft YaHei"/>
        <family val="2"/>
        <charset val="136"/>
      </rPr>
      <t xml:space="preserve">喂 </t>
    </r>
    <r>
      <rPr>
        <sz val="14"/>
        <rFont val="Calibri"/>
        <family val="2"/>
        <charset val="1"/>
      </rPr>
      <t>Siri</t>
    </r>
  </si>
  <si>
    <t>饒兆琮</t>
  </si>
  <si>
    <t>M977</t>
  </si>
  <si>
    <t>何世茂</t>
  </si>
  <si>
    <t>M978</t>
  </si>
  <si>
    <t>SEED#33</t>
  </si>
  <si>
    <t>毫無破綻</t>
  </si>
  <si>
    <t>譚殷立</t>
  </si>
  <si>
    <t>M720</t>
  </si>
  <si>
    <t>李晉瑋</t>
  </si>
  <si>
    <t>M949</t>
  </si>
  <si>
    <t>SEED#34</t>
  </si>
  <si>
    <t>RBBB</t>
  </si>
  <si>
    <t>黃栢熙</t>
  </si>
  <si>
    <t>M867</t>
  </si>
  <si>
    <t>黃思瀚</t>
  </si>
  <si>
    <t>M911</t>
  </si>
  <si>
    <t>SEED#35</t>
  </si>
  <si>
    <t>VVE</t>
  </si>
  <si>
    <t>何建邦</t>
  </si>
  <si>
    <t>M924</t>
  </si>
  <si>
    <t>薛俊逸</t>
  </si>
  <si>
    <t>M321</t>
  </si>
  <si>
    <t>SEED#36</t>
  </si>
  <si>
    <t>CHAKRA</t>
  </si>
  <si>
    <t>謝卓泓</t>
  </si>
  <si>
    <t>M953</t>
  </si>
  <si>
    <t>馬凱琦</t>
  </si>
  <si>
    <t>M865</t>
  </si>
  <si>
    <t>SEED#38</t>
  </si>
  <si>
    <t>SEED#37,38,39,40</t>
  </si>
  <si>
    <t>浪費時間</t>
  </si>
  <si>
    <t>潘卓爾</t>
  </si>
  <si>
    <t>M198</t>
  </si>
  <si>
    <t>林詩朗</t>
  </si>
  <si>
    <t>M675</t>
  </si>
  <si>
    <t>SEED#40</t>
  </si>
  <si>
    <t>怒飛</t>
  </si>
  <si>
    <t>李日東</t>
  </si>
  <si>
    <t>M414</t>
  </si>
  <si>
    <t>麥浩暘</t>
  </si>
  <si>
    <t>M665</t>
  </si>
  <si>
    <t>SEED#37</t>
  </si>
  <si>
    <r>
      <rPr>
        <sz val="14"/>
        <rFont val="Calibri"/>
        <family val="2"/>
        <charset val="1"/>
      </rPr>
      <t>SCAA</t>
    </r>
    <r>
      <rPr>
        <sz val="14"/>
        <rFont val="Microsoft YaHei"/>
        <family val="2"/>
        <charset val="136"/>
      </rPr>
      <t>肥高</t>
    </r>
  </si>
  <si>
    <t>連源達</t>
  </si>
  <si>
    <t>陳嘉偉</t>
  </si>
  <si>
    <t>M311</t>
  </si>
  <si>
    <t>SEED#39</t>
  </si>
  <si>
    <t>赤殷</t>
  </si>
  <si>
    <t>李祥坤</t>
  </si>
  <si>
    <t>M960</t>
  </si>
  <si>
    <t>陳駿傑</t>
  </si>
  <si>
    <t>SEED#41</t>
  </si>
  <si>
    <t>KS</t>
  </si>
  <si>
    <t>蘇世文</t>
  </si>
  <si>
    <t>傅學昆</t>
  </si>
  <si>
    <t>SEED#48</t>
  </si>
  <si>
    <t>SEED#42-63</t>
  </si>
  <si>
    <t>死守爛拍</t>
  </si>
  <si>
    <t>梁溢恆</t>
  </si>
  <si>
    <t>M763</t>
  </si>
  <si>
    <t>李偉康</t>
  </si>
  <si>
    <t>M764</t>
  </si>
  <si>
    <t>SEED#61</t>
  </si>
  <si>
    <t>Kaher Moka</t>
  </si>
  <si>
    <t>葉敬亮</t>
  </si>
  <si>
    <t>M501</t>
  </si>
  <si>
    <t>張家謙</t>
  </si>
  <si>
    <t>SEED#50</t>
  </si>
  <si>
    <t>DB99J</t>
  </si>
  <si>
    <t>曾志成</t>
  </si>
  <si>
    <t>劉梓浩</t>
  </si>
  <si>
    <t>SEED#44</t>
  </si>
  <si>
    <t>Volleyfever</t>
  </si>
  <si>
    <t>簡溢傑</t>
  </si>
  <si>
    <t>M289</t>
  </si>
  <si>
    <t>吳國良</t>
  </si>
  <si>
    <t>M333</t>
  </si>
  <si>
    <t>SEED#59</t>
  </si>
  <si>
    <t xml:space="preserve">Maniac </t>
  </si>
  <si>
    <t>杜景燊</t>
  </si>
  <si>
    <t>鄭旨睿</t>
  </si>
  <si>
    <t>SEED#54</t>
  </si>
  <si>
    <t>New Normal</t>
  </si>
  <si>
    <t>陳凱舜</t>
  </si>
  <si>
    <t>王偉鏗</t>
  </si>
  <si>
    <t>M147</t>
  </si>
  <si>
    <t>SEED#60</t>
  </si>
  <si>
    <t>沙臻</t>
  </si>
  <si>
    <t>盧梓鳴</t>
  </si>
  <si>
    <t>林峻宏</t>
  </si>
  <si>
    <t>M610</t>
  </si>
  <si>
    <t>SEED#51</t>
  </si>
  <si>
    <t>Hello</t>
  </si>
  <si>
    <t>李智恒</t>
  </si>
  <si>
    <t>M157</t>
  </si>
  <si>
    <t>梁焯垣</t>
  </si>
  <si>
    <t>M579</t>
  </si>
  <si>
    <t>SEED#52</t>
  </si>
  <si>
    <t>肇青一隊</t>
  </si>
  <si>
    <t>何厚銓</t>
  </si>
  <si>
    <t>M942</t>
  </si>
  <si>
    <t>霍祖迪</t>
  </si>
  <si>
    <t>M943</t>
  </si>
  <si>
    <t>SEED#46</t>
  </si>
  <si>
    <t>肇青二隊</t>
  </si>
  <si>
    <t>劉凱銘</t>
  </si>
  <si>
    <t>M945</t>
  </si>
  <si>
    <t>陳元泰</t>
  </si>
  <si>
    <t>M861</t>
  </si>
  <si>
    <t>SEED#47</t>
  </si>
  <si>
    <t xml:space="preserve">Sunflower </t>
  </si>
  <si>
    <t>林灝銘</t>
  </si>
  <si>
    <t>M781</t>
  </si>
  <si>
    <t>OVCHAROV, Vitaly</t>
  </si>
  <si>
    <t>SEED#58</t>
  </si>
  <si>
    <t>肇青三隊</t>
  </si>
  <si>
    <t>歐添祥</t>
  </si>
  <si>
    <t>M944</t>
  </si>
  <si>
    <t>王雋</t>
  </si>
  <si>
    <t>SEED#43</t>
  </si>
  <si>
    <t>KYC1999</t>
  </si>
  <si>
    <t>陳啓樑</t>
  </si>
  <si>
    <t>林朗熙</t>
  </si>
  <si>
    <t>SEED#49</t>
  </si>
  <si>
    <t>加拿大兄弟幫</t>
  </si>
  <si>
    <t>單康睿</t>
  </si>
  <si>
    <t>杜知行</t>
  </si>
  <si>
    <t>M965</t>
  </si>
  <si>
    <t>SEED#56</t>
  </si>
  <si>
    <t>豆沙人</t>
  </si>
  <si>
    <t>梁啟軒</t>
  </si>
  <si>
    <t>黃日希</t>
  </si>
  <si>
    <t>SEED#57</t>
  </si>
  <si>
    <r>
      <rPr>
        <sz val="14"/>
        <rFont val="Microsoft YaHei"/>
        <family val="2"/>
        <charset val="136"/>
      </rPr>
      <t>老仁</t>
    </r>
    <r>
      <rPr>
        <sz val="14"/>
        <rFont val="Calibri"/>
        <family val="2"/>
        <charset val="1"/>
      </rPr>
      <t>A</t>
    </r>
  </si>
  <si>
    <t>胡俊冬</t>
  </si>
  <si>
    <t>M430</t>
  </si>
  <si>
    <t>馬家豪</t>
  </si>
  <si>
    <t>M196</t>
  </si>
  <si>
    <t>SEED#55</t>
  </si>
  <si>
    <t>LYKC</t>
  </si>
  <si>
    <t>盧家俊</t>
  </si>
  <si>
    <t>M785</t>
  </si>
  <si>
    <t>梁耀宗</t>
  </si>
  <si>
    <t>M786</t>
  </si>
  <si>
    <t>SEED#42</t>
  </si>
  <si>
    <t>Team USASWISS</t>
  </si>
  <si>
    <t>Brian Nordberg</t>
  </si>
  <si>
    <t>M222</t>
  </si>
  <si>
    <t>Rafael Bissig</t>
  </si>
  <si>
    <t>SEED#45</t>
  </si>
  <si>
    <t>DBS 1</t>
  </si>
  <si>
    <t>李俊軒</t>
  </si>
  <si>
    <t>林文杰</t>
  </si>
  <si>
    <t>SEED#53</t>
  </si>
  <si>
    <t>DBS 2</t>
  </si>
  <si>
    <t>車孝男</t>
  </si>
  <si>
    <t>余駿熙</t>
  </si>
  <si>
    <t>SEED#62</t>
  </si>
  <si>
    <t>係咁先啦</t>
  </si>
  <si>
    <t>潘韋麒</t>
  </si>
  <si>
    <t>M734</t>
  </si>
  <si>
    <t>曾仲賢</t>
  </si>
  <si>
    <t>SEED#63</t>
  </si>
  <si>
    <t>男子組：</t>
  </si>
  <si>
    <t>資格賽賽程</t>
  </si>
  <si>
    <t>A</t>
  </si>
  <si>
    <t>B</t>
  </si>
  <si>
    <t>C</t>
  </si>
  <si>
    <t>D</t>
  </si>
  <si>
    <t>E</t>
  </si>
  <si>
    <t>F</t>
  </si>
  <si>
    <t>G</t>
  </si>
  <si>
    <t>H</t>
  </si>
  <si>
    <t>SEED#1</t>
  </si>
  <si>
    <t>SEED#2</t>
  </si>
  <si>
    <t>SEED#3</t>
  </si>
  <si>
    <t>SEED#4</t>
  </si>
  <si>
    <t>SEED#5</t>
  </si>
  <si>
    <t>SEED#6</t>
  </si>
  <si>
    <t>SEED#7</t>
  </si>
  <si>
    <t>SEED#8</t>
  </si>
  <si>
    <t>SEED#16</t>
  </si>
  <si>
    <t>SEED#15</t>
  </si>
  <si>
    <t>SEED#14</t>
  </si>
  <si>
    <t>SEED#13</t>
  </si>
  <si>
    <t>SEED#12</t>
  </si>
  <si>
    <t>SEED#11</t>
  </si>
  <si>
    <t>SEED#10</t>
  </si>
  <si>
    <t>SEED#9</t>
  </si>
  <si>
    <t>SEED#17</t>
  </si>
  <si>
    <t>SEED#18</t>
  </si>
  <si>
    <t>SEED#19</t>
  </si>
  <si>
    <t>SEED#20</t>
  </si>
  <si>
    <t>SEED#21</t>
  </si>
  <si>
    <t>SEED#22</t>
  </si>
  <si>
    <t>SEED#23</t>
  </si>
  <si>
    <t>SEED#24</t>
  </si>
  <si>
    <r>
      <rPr>
        <sz val="12"/>
        <color rgb="FF000000"/>
        <rFont val="新細明體"/>
        <family val="1"/>
        <charset val="136"/>
      </rPr>
      <t>第</t>
    </r>
    <r>
      <rPr>
        <sz val="12"/>
        <color rgb="FF000000"/>
        <rFont val="Calibri"/>
        <family val="2"/>
        <charset val="1"/>
      </rPr>
      <t>25-63</t>
    </r>
    <r>
      <rPr>
        <sz val="12"/>
        <color rgb="FF000000"/>
        <rFont val="新細明體"/>
        <family val="1"/>
        <charset val="136"/>
      </rPr>
      <t>種子進行淘汰賽，賽出資格並分配於各組內。</t>
    </r>
  </si>
  <si>
    <t>QT22</t>
  </si>
  <si>
    <t>13:15, 10:15</t>
  </si>
  <si>
    <t>QT7</t>
  </si>
  <si>
    <t>15:10, 9:15, 17:15</t>
  </si>
  <si>
    <t>QT31</t>
  </si>
  <si>
    <r>
      <rPr>
        <b/>
        <sz val="12"/>
        <color rgb="FF000000"/>
        <rFont val="Microsoft Ya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H4</t>
    </r>
  </si>
  <si>
    <t>10:15, 9:15</t>
  </si>
  <si>
    <t>QT23</t>
  </si>
  <si>
    <t>15:7, 15:6</t>
  </si>
  <si>
    <t>QT8</t>
  </si>
  <si>
    <t>18:16, 16:14</t>
  </si>
  <si>
    <t>QT24</t>
  </si>
  <si>
    <r>
      <rPr>
        <b/>
        <sz val="12"/>
        <color rgb="FF000000"/>
        <rFont val="Microsoft Ya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A4</t>
    </r>
  </si>
  <si>
    <t>15:9, 15:13</t>
  </si>
  <si>
    <t>QT9</t>
  </si>
  <si>
    <t>15:11, 11:15, 15:13</t>
  </si>
  <si>
    <t>QT14</t>
  </si>
  <si>
    <t>7:15, 12:15</t>
  </si>
  <si>
    <t>QT3</t>
  </si>
  <si>
    <t>Hello NO SHOW</t>
  </si>
  <si>
    <t>QT27</t>
  </si>
  <si>
    <r>
      <rPr>
        <b/>
        <sz val="12"/>
        <color rgb="FF000000"/>
        <rFont val="Microsoft Ya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D4</t>
    </r>
  </si>
  <si>
    <t>9:15, 5:15</t>
  </si>
  <si>
    <t>QT15</t>
  </si>
  <si>
    <t>6:15, 8:15</t>
  </si>
  <si>
    <t>QT16</t>
  </si>
  <si>
    <t>15:4, 15:7</t>
  </si>
  <si>
    <t>QT28</t>
  </si>
  <si>
    <r>
      <rPr>
        <b/>
        <sz val="12"/>
        <color rgb="FF000000"/>
        <rFont val="Microsoft Ya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E4</t>
    </r>
  </si>
  <si>
    <t>15:12, 16:18, 13:15</t>
  </si>
  <si>
    <t>QT17</t>
  </si>
  <si>
    <t>15:7, 15:12</t>
  </si>
  <si>
    <t>QT4</t>
  </si>
  <si>
    <t>15:13, 15:13</t>
  </si>
  <si>
    <t>QT18</t>
  </si>
  <si>
    <t>15:4, 15:8</t>
  </si>
  <si>
    <t>QT5</t>
  </si>
  <si>
    <t>Maniac NO SHOW</t>
  </si>
  <si>
    <t>QT29</t>
  </si>
  <si>
    <r>
      <rPr>
        <b/>
        <sz val="12"/>
        <color rgb="FF000000"/>
        <rFont val="Microsoft Ya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F4</t>
    </r>
  </si>
  <si>
    <t>15:7, 15:8</t>
  </si>
  <si>
    <t>QT19</t>
  </si>
  <si>
    <t>CHAKRA NO SHOW</t>
  </si>
  <si>
    <t>QT12</t>
  </si>
  <si>
    <t>16:14, 15:10</t>
  </si>
  <si>
    <t>QT26</t>
  </si>
  <si>
    <r>
      <rPr>
        <b/>
        <sz val="12"/>
        <color rgb="FF000000"/>
        <rFont val="Microsoft Ya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C4</t>
    </r>
  </si>
  <si>
    <t>9:15, 9:15</t>
  </si>
  <si>
    <t>QT13</t>
  </si>
  <si>
    <t>15:4, 15:9</t>
  </si>
  <si>
    <t>QT2</t>
  </si>
  <si>
    <t>15:9, 15:7</t>
  </si>
  <si>
    <t>QT10</t>
  </si>
  <si>
    <t>11:15, 11:15</t>
  </si>
  <si>
    <t>QT1</t>
  </si>
  <si>
    <r>
      <rPr>
        <sz val="12"/>
        <color rgb="FF000000"/>
        <rFont val="Microsoft YaHei"/>
        <family val="2"/>
        <charset val="136"/>
      </rPr>
      <t xml:space="preserve">係咁先啦 </t>
    </r>
    <r>
      <rPr>
        <sz val="12"/>
        <color rgb="FF000000"/>
        <rFont val="Calibri"/>
        <family val="2"/>
        <charset val="1"/>
      </rPr>
      <t>NO SHOW</t>
    </r>
  </si>
  <si>
    <t>QT25</t>
  </si>
  <si>
    <r>
      <rPr>
        <b/>
        <sz val="12"/>
        <color rgb="FF000000"/>
        <rFont val="Microsoft Ya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B4</t>
    </r>
  </si>
  <si>
    <t>QT11</t>
  </si>
  <si>
    <t>15:9, 15:6</t>
  </si>
  <si>
    <t>QT20</t>
  </si>
  <si>
    <t>15:11, 20:18</t>
  </si>
  <si>
    <t>QT30</t>
  </si>
  <si>
    <r>
      <rPr>
        <b/>
        <sz val="12"/>
        <color rgb="FF000000"/>
        <rFont val="Microsoft Ya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G4</t>
    </r>
  </si>
  <si>
    <t>7:15, 3:15</t>
  </si>
  <si>
    <t>QT21</t>
  </si>
  <si>
    <t>8:15, 15:7, 12:15</t>
  </si>
  <si>
    <t>QT6</t>
  </si>
  <si>
    <t>10:15, 17:19</t>
  </si>
  <si>
    <t>男子組</t>
  </si>
  <si>
    <t>分組方法：</t>
  </si>
  <si>
    <t>小組單循環比賽中得分由高至低依次排名次。首次名晉級。</t>
  </si>
  <si>
    <t>M1</t>
  </si>
  <si>
    <t>21:16, 23:21</t>
  </si>
  <si>
    <t>M9</t>
  </si>
  <si>
    <t>19:21, 21:12, 11:15</t>
  </si>
  <si>
    <t>M2</t>
  </si>
  <si>
    <t>7:21, 14:21</t>
  </si>
  <si>
    <t>M13</t>
  </si>
  <si>
    <t>M3</t>
  </si>
  <si>
    <t>21:12, 21:14</t>
  </si>
  <si>
    <t>M10</t>
  </si>
  <si>
    <t>21:16, 21:18</t>
  </si>
  <si>
    <t>M4</t>
  </si>
  <si>
    <t>Team USASWISS forfeits due to injury</t>
  </si>
  <si>
    <t>M16</t>
  </si>
  <si>
    <t>Final 1/2 places</t>
  </si>
  <si>
    <t>ALPS-TANGWO</t>
  </si>
  <si>
    <t>M5</t>
  </si>
  <si>
    <t>21:8, 21:12</t>
  </si>
  <si>
    <t>M11</t>
  </si>
  <si>
    <t>21:13, 21:12</t>
  </si>
  <si>
    <t>M6</t>
  </si>
  <si>
    <t>21:9, 21:10</t>
  </si>
  <si>
    <t>M14</t>
  </si>
  <si>
    <t>M7</t>
  </si>
  <si>
    <t>19:21, 13:21</t>
  </si>
  <si>
    <t>M12</t>
  </si>
  <si>
    <t>21:23, 18:21</t>
  </si>
  <si>
    <t>M15</t>
  </si>
  <si>
    <t>Final 3/4 places</t>
  </si>
  <si>
    <t>M8</t>
  </si>
  <si>
    <t>9:21, 13:21</t>
  </si>
  <si>
    <t>1st</t>
  </si>
  <si>
    <t>120 pts</t>
  </si>
  <si>
    <t>2nd</t>
  </si>
  <si>
    <t>108 pts</t>
  </si>
  <si>
    <t>ALPS - 9號烈峰或PO峰信號</t>
  </si>
  <si>
    <t>3rd</t>
  </si>
  <si>
    <t>96 pts</t>
  </si>
  <si>
    <t>4th</t>
  </si>
  <si>
    <t>84 pts</t>
  </si>
  <si>
    <t>5th</t>
  </si>
  <si>
    <t>72 pts</t>
  </si>
  <si>
    <t>9th</t>
  </si>
  <si>
    <t>54 pts</t>
  </si>
  <si>
    <t>Sunflower</t>
  </si>
  <si>
    <t>AKPS - SC</t>
  </si>
  <si>
    <t>17th</t>
  </si>
  <si>
    <t>48 pts</t>
  </si>
  <si>
    <t>ALPS-SKTL</t>
  </si>
  <si>
    <t>Ivan &amp; Pak</t>
  </si>
  <si>
    <t>25th</t>
  </si>
  <si>
    <t>36 pts</t>
  </si>
  <si>
    <t>亳無破綻</t>
  </si>
  <si>
    <t>QT</t>
  </si>
  <si>
    <t>6 pts</t>
  </si>
  <si>
    <t>3 pts</t>
  </si>
  <si>
    <t>隨心96</t>
  </si>
  <si>
    <t>0 pts</t>
  </si>
  <si>
    <t>Maniac</t>
  </si>
  <si>
    <t>老仁 A</t>
  </si>
  <si>
    <t>Playing Schedule (Men's)</t>
  </si>
  <si>
    <r>
      <rPr>
        <b/>
        <sz val="18"/>
        <rFont val="新細明體"/>
        <family val="1"/>
        <charset val="136"/>
      </rPr>
      <t xml:space="preserve">賽程表 </t>
    </r>
    <r>
      <rPr>
        <b/>
        <sz val="18"/>
        <rFont val="Calibri"/>
        <family val="2"/>
        <charset val="1"/>
      </rPr>
      <t>(</t>
    </r>
    <r>
      <rPr>
        <b/>
        <sz val="18"/>
        <rFont val="新細明體"/>
        <family val="1"/>
        <charset val="136"/>
      </rPr>
      <t>男子組</t>
    </r>
    <r>
      <rPr>
        <b/>
        <sz val="18"/>
        <rFont val="Calibri"/>
        <family val="2"/>
        <charset val="1"/>
      </rPr>
      <t>)</t>
    </r>
  </si>
  <si>
    <t>局數</t>
  </si>
  <si>
    <t>分數</t>
  </si>
  <si>
    <t>POOL</t>
  </si>
  <si>
    <t>Group</t>
  </si>
  <si>
    <t>TEAMS</t>
  </si>
  <si>
    <t>TEAM A</t>
  </si>
  <si>
    <t>TEAM B</t>
  </si>
  <si>
    <t>分組</t>
  </si>
  <si>
    <t>Match No.</t>
  </si>
  <si>
    <t>對賽隊</t>
  </si>
  <si>
    <t>Vs</t>
  </si>
  <si>
    <t>A4</t>
  </si>
  <si>
    <r>
      <rPr>
        <sz val="12"/>
        <rFont val="Microsoft YaHei"/>
        <family val="2"/>
        <charset val="136"/>
      </rPr>
      <t xml:space="preserve">喂 </t>
    </r>
    <r>
      <rPr>
        <sz val="12"/>
        <rFont val="Calibri"/>
        <family val="2"/>
        <charset val="1"/>
      </rPr>
      <t>Siri</t>
    </r>
  </si>
  <si>
    <t>21:11, 21:16</t>
  </si>
  <si>
    <t>Position</t>
  </si>
  <si>
    <t>Win</t>
  </si>
  <si>
    <t>Draw</t>
  </si>
  <si>
    <t>Loss</t>
  </si>
  <si>
    <t>10:21, 15:21</t>
  </si>
  <si>
    <r>
      <rPr>
        <sz val="12"/>
        <rFont val="Microsoft YaHei"/>
        <family val="2"/>
        <charset val="136"/>
      </rPr>
      <t>仁濟</t>
    </r>
    <r>
      <rPr>
        <sz val="12"/>
        <rFont val="Calibri"/>
        <family val="2"/>
        <charset val="1"/>
      </rPr>
      <t>-ALPS</t>
    </r>
  </si>
  <si>
    <t>21:15, 21:12</t>
  </si>
  <si>
    <r>
      <rPr>
        <sz val="12"/>
        <rFont val="Microsoft YaHei"/>
        <family val="2"/>
        <charset val="136"/>
      </rPr>
      <t>我要買</t>
    </r>
    <r>
      <rPr>
        <sz val="12"/>
        <rFont val="Calibri"/>
        <family val="2"/>
        <charset val="1"/>
      </rPr>
      <t>G63</t>
    </r>
  </si>
  <si>
    <t>25:23, 22:20</t>
  </si>
  <si>
    <r>
      <rPr>
        <sz val="12"/>
        <rFont val="Microsoft YaHei"/>
        <family val="2"/>
        <charset val="136"/>
      </rPr>
      <t xml:space="preserve">喂 </t>
    </r>
    <r>
      <rPr>
        <sz val="12"/>
        <rFont val="Calibri"/>
        <family val="2"/>
        <charset val="1"/>
      </rPr>
      <t>Siri NO SHOW</t>
    </r>
  </si>
  <si>
    <t>21:14, 21:14</t>
  </si>
  <si>
    <t>B4</t>
  </si>
  <si>
    <t>21:17, 21:19</t>
  </si>
  <si>
    <t>21:15, 19:21</t>
  </si>
  <si>
    <t>21:15, 21:18</t>
  </si>
  <si>
    <r>
      <rPr>
        <sz val="8"/>
        <rFont val="Calibri"/>
        <family val="2"/>
        <charset val="1"/>
      </rPr>
      <t>ALPS - 9</t>
    </r>
    <r>
      <rPr>
        <sz val="8"/>
        <rFont val="Microsoft YaHei"/>
        <family val="2"/>
        <charset val="136"/>
      </rPr>
      <t>號烈峰或</t>
    </r>
    <r>
      <rPr>
        <sz val="8"/>
        <rFont val="Calibri"/>
        <family val="2"/>
        <charset val="1"/>
      </rPr>
      <t>PO</t>
    </r>
    <r>
      <rPr>
        <sz val="8"/>
        <rFont val="Microsoft YaHei"/>
        <family val="2"/>
        <charset val="136"/>
      </rPr>
      <t>峰信號</t>
    </r>
  </si>
  <si>
    <t>16:21, 21:18</t>
  </si>
  <si>
    <t>21:18, 19:21</t>
  </si>
  <si>
    <t>20:22, 21:13</t>
  </si>
  <si>
    <t>C4</t>
  </si>
  <si>
    <t>21:12, 21:10</t>
  </si>
  <si>
    <t>21:9, 21:11</t>
  </si>
  <si>
    <r>
      <rPr>
        <sz val="12"/>
        <rFont val="Calibri"/>
        <family val="2"/>
        <charset val="1"/>
      </rPr>
      <t xml:space="preserve">ALPS </t>
    </r>
    <r>
      <rPr>
        <sz val="12"/>
        <rFont val="Microsoft YaHei"/>
        <family val="2"/>
        <charset val="136"/>
      </rPr>
      <t>大埔</t>
    </r>
  </si>
  <si>
    <t>18:21, 21:10</t>
  </si>
  <si>
    <t>11:21, 19:21</t>
  </si>
  <si>
    <t>21:13, 19:21</t>
  </si>
  <si>
    <t>D4</t>
  </si>
  <si>
    <t>14:21, 11:21</t>
  </si>
  <si>
    <t>21:1, 21:5</t>
  </si>
  <si>
    <r>
      <rPr>
        <sz val="12"/>
        <rFont val="Calibri"/>
        <family val="2"/>
        <charset val="1"/>
      </rPr>
      <t xml:space="preserve">SCAA - </t>
    </r>
    <r>
      <rPr>
        <sz val="12"/>
        <rFont val="Microsoft YaHei"/>
        <family val="2"/>
        <charset val="136"/>
      </rPr>
      <t>龖</t>
    </r>
  </si>
  <si>
    <t>21:4, 21:6</t>
  </si>
  <si>
    <r>
      <rPr>
        <sz val="12"/>
        <rFont val="Calibri"/>
        <family val="2"/>
        <charset val="1"/>
      </rPr>
      <t>ALPS-</t>
    </r>
    <r>
      <rPr>
        <sz val="12"/>
        <rFont val="Microsoft YaHei"/>
        <family val="2"/>
        <charset val="136"/>
      </rPr>
      <t>咪估</t>
    </r>
  </si>
  <si>
    <t>11:21, 12:21</t>
  </si>
  <si>
    <t>6:21, 5:21</t>
  </si>
  <si>
    <r>
      <rPr>
        <sz val="12"/>
        <rFont val="Microsoft YaHei"/>
        <family val="2"/>
        <charset val="136"/>
      </rPr>
      <t>西到</t>
    </r>
    <r>
      <rPr>
        <sz val="12"/>
        <rFont val="Calibri"/>
        <family val="2"/>
        <charset val="1"/>
      </rPr>
      <t>2046</t>
    </r>
  </si>
  <si>
    <t>21:12, 21:17</t>
  </si>
  <si>
    <t>E4</t>
  </si>
  <si>
    <t>21:8, 21:15</t>
  </si>
  <si>
    <t>21:9, 21:9</t>
  </si>
  <si>
    <t>21:15, 21:13</t>
  </si>
  <si>
    <t>21:8, 21:9</t>
  </si>
  <si>
    <t>8:21, 14:21</t>
  </si>
  <si>
    <t>23:25, 21:15</t>
  </si>
  <si>
    <t>F4</t>
  </si>
  <si>
    <t>21:23, 10:21</t>
  </si>
  <si>
    <t>21:23, 21:23</t>
  </si>
  <si>
    <t>10:21, 16:21</t>
  </si>
  <si>
    <t>21:11, 20:22</t>
  </si>
  <si>
    <t>13:21, 21:10</t>
  </si>
  <si>
    <t>23:21, 21:16</t>
  </si>
  <si>
    <t>G4</t>
  </si>
  <si>
    <t>21:16, 21:16</t>
  </si>
  <si>
    <t>21:7, 21:17</t>
  </si>
  <si>
    <t>20:22, 21:23</t>
  </si>
  <si>
    <t>14:21, 12:21</t>
  </si>
  <si>
    <t>21:17, 21:18</t>
  </si>
  <si>
    <t>H4</t>
  </si>
  <si>
    <t>21:10, 21:12</t>
  </si>
  <si>
    <r>
      <rPr>
        <sz val="12"/>
        <rFont val="Microsoft YaHei"/>
        <family val="2"/>
        <charset val="136"/>
      </rPr>
      <t xml:space="preserve">仁仔 </t>
    </r>
    <r>
      <rPr>
        <sz val="12"/>
        <rFont val="Calibri"/>
        <family val="2"/>
        <charset val="1"/>
      </rPr>
      <t>NO SHOW</t>
    </r>
  </si>
  <si>
    <t>21:5, 21:10</t>
  </si>
  <si>
    <t>16:21, 21:17</t>
  </si>
  <si>
    <t>20:22, 13:21</t>
  </si>
  <si>
    <t>ST</t>
  </si>
  <si>
    <t>杜詠彤</t>
  </si>
  <si>
    <t>F530</t>
  </si>
  <si>
    <t>江卓儀</t>
  </si>
  <si>
    <t>F115</t>
  </si>
  <si>
    <t>L</t>
  </si>
  <si>
    <t>吳詠嵐</t>
  </si>
  <si>
    <t>F628</t>
  </si>
  <si>
    <t>駱映喬</t>
  </si>
  <si>
    <t>F599</t>
  </si>
  <si>
    <r>
      <rPr>
        <sz val="14"/>
        <rFont val="Calibri"/>
        <family val="2"/>
        <charset val="1"/>
      </rPr>
      <t>Alps-</t>
    </r>
    <r>
      <rPr>
        <sz val="14"/>
        <rFont val="Microsoft YaHei"/>
        <family val="2"/>
        <charset val="136"/>
      </rPr>
      <t>稻八</t>
    </r>
  </si>
  <si>
    <t>歐陽瑋欣</t>
  </si>
  <si>
    <t>F538</t>
  </si>
  <si>
    <t>古蓉蓉</t>
  </si>
  <si>
    <t>F395</t>
  </si>
  <si>
    <t>ALPS- Pillarsports (A)</t>
  </si>
  <si>
    <t>袁廷芝</t>
  </si>
  <si>
    <t>F153</t>
  </si>
  <si>
    <t>黃雯靖</t>
  </si>
  <si>
    <t>F681</t>
  </si>
  <si>
    <t>Reunion</t>
  </si>
  <si>
    <t>任頌欣</t>
  </si>
  <si>
    <t>F585</t>
  </si>
  <si>
    <t>劉天慧</t>
  </si>
  <si>
    <t>F142</t>
  </si>
  <si>
    <t>砂煲罌罉</t>
  </si>
  <si>
    <t>吳玥嬈</t>
  </si>
  <si>
    <t>F609</t>
  </si>
  <si>
    <t>陳綺婷</t>
  </si>
  <si>
    <t>F799</t>
  </si>
  <si>
    <t>SURVIVOR</t>
  </si>
  <si>
    <t>梁倩橋</t>
  </si>
  <si>
    <t>F583</t>
  </si>
  <si>
    <t>馮可盈</t>
  </si>
  <si>
    <t>F582</t>
  </si>
  <si>
    <t>The Gale</t>
  </si>
  <si>
    <t>林穎哲</t>
  </si>
  <si>
    <t>F611</t>
  </si>
  <si>
    <t>曾嘉悅</t>
  </si>
  <si>
    <t>F215</t>
  </si>
  <si>
    <r>
      <rPr>
        <sz val="14"/>
        <rFont val="Microsoft YaHei"/>
        <family val="2"/>
        <charset val="136"/>
      </rPr>
      <t>葵青</t>
    </r>
    <r>
      <rPr>
        <sz val="14"/>
        <rFont val="Calibri"/>
        <family val="2"/>
        <charset val="1"/>
      </rPr>
      <t>-</t>
    </r>
    <r>
      <rPr>
        <sz val="14"/>
        <rFont val="Microsoft YaHei"/>
        <family val="2"/>
        <charset val="136"/>
      </rPr>
      <t>啫喱冰冰</t>
    </r>
  </si>
  <si>
    <t>周影楣</t>
  </si>
  <si>
    <t>F531</t>
  </si>
  <si>
    <t>何慧恩</t>
  </si>
  <si>
    <t>F179</t>
  </si>
  <si>
    <t>求奇</t>
  </si>
  <si>
    <t>黃詠雪</t>
  </si>
  <si>
    <t>F772</t>
  </si>
  <si>
    <t>吳希瑜</t>
  </si>
  <si>
    <t>F460</t>
  </si>
  <si>
    <t>ALPS - Pillarsports (B)</t>
  </si>
  <si>
    <t>盧慧茵</t>
  </si>
  <si>
    <t>F202</t>
  </si>
  <si>
    <t>馮芷茵</t>
  </si>
  <si>
    <t>F396</t>
  </si>
  <si>
    <t>大細波</t>
  </si>
  <si>
    <t>林淑怡</t>
  </si>
  <si>
    <t>F675</t>
  </si>
  <si>
    <t>麥𩓙恩</t>
  </si>
  <si>
    <t>F653</t>
  </si>
  <si>
    <r>
      <rPr>
        <sz val="14"/>
        <rFont val="Calibri"/>
        <family val="2"/>
        <charset val="1"/>
      </rPr>
      <t>ALPS-</t>
    </r>
    <r>
      <rPr>
        <sz val="14"/>
        <rFont val="Microsoft YaHei"/>
        <family val="2"/>
        <charset val="136"/>
      </rPr>
      <t>動靜皆宜</t>
    </r>
  </si>
  <si>
    <t>梁雨詩</t>
  </si>
  <si>
    <t>F774</t>
  </si>
  <si>
    <t>周思欣</t>
  </si>
  <si>
    <t>F778</t>
  </si>
  <si>
    <t>李佩珊</t>
  </si>
  <si>
    <t>F260</t>
  </si>
  <si>
    <t>羅可楓</t>
  </si>
  <si>
    <t>F259</t>
  </si>
  <si>
    <t>初次出道</t>
  </si>
  <si>
    <t>黃雪怡</t>
  </si>
  <si>
    <t>F773</t>
  </si>
  <si>
    <t>羅潤婷</t>
  </si>
  <si>
    <t>F558</t>
  </si>
  <si>
    <t>J&amp;M</t>
  </si>
  <si>
    <t>布諾珩</t>
  </si>
  <si>
    <t>F584</t>
  </si>
  <si>
    <t>廖美恩</t>
  </si>
  <si>
    <t>F437</t>
  </si>
  <si>
    <t>YWS</t>
  </si>
  <si>
    <t>易穎芯</t>
  </si>
  <si>
    <t>陳秋穎</t>
  </si>
  <si>
    <t>F105</t>
  </si>
  <si>
    <t>ALPS-RACO</t>
  </si>
  <si>
    <t>方慧敏</t>
  </si>
  <si>
    <t>F758</t>
  </si>
  <si>
    <t>鄭鈺諺</t>
  </si>
  <si>
    <t>F667</t>
  </si>
  <si>
    <t>白弱汗</t>
  </si>
  <si>
    <t>伍蒨兒</t>
  </si>
  <si>
    <t>F781</t>
  </si>
  <si>
    <t>梁卓怡</t>
  </si>
  <si>
    <t>F779</t>
  </si>
  <si>
    <t>PUIPUI</t>
  </si>
  <si>
    <t>鄧琪霈</t>
  </si>
  <si>
    <t>F754</t>
  </si>
  <si>
    <t>吳佩兒</t>
  </si>
  <si>
    <t>F708</t>
  </si>
  <si>
    <t>RUNA</t>
  </si>
  <si>
    <t>趙穎琪</t>
  </si>
  <si>
    <t>F678</t>
  </si>
  <si>
    <t>林慧賢</t>
  </si>
  <si>
    <t>F679</t>
  </si>
  <si>
    <t>S.potato</t>
  </si>
  <si>
    <t>鍾嘉雯</t>
  </si>
  <si>
    <t>F764</t>
  </si>
  <si>
    <t>陳琪茵</t>
  </si>
  <si>
    <t>F776</t>
  </si>
  <si>
    <t>F3,G3,H3</t>
  </si>
  <si>
    <t>估里吾島</t>
  </si>
  <si>
    <t>楊穎曈</t>
  </si>
  <si>
    <t>F641</t>
  </si>
  <si>
    <t>張嘉樺</t>
  </si>
  <si>
    <t>F701</t>
  </si>
  <si>
    <t>淺水灣三寶</t>
  </si>
  <si>
    <t>張詩雅</t>
  </si>
  <si>
    <t>F237</t>
  </si>
  <si>
    <t>黎曉文</t>
  </si>
  <si>
    <t>F432</t>
  </si>
  <si>
    <t>KB</t>
  </si>
  <si>
    <t>徐家麗</t>
  </si>
  <si>
    <t>F713</t>
  </si>
  <si>
    <t>羅婷芳</t>
  </si>
  <si>
    <t>思敏儀</t>
  </si>
  <si>
    <t>陳思敏</t>
  </si>
  <si>
    <t>F512</t>
  </si>
  <si>
    <t>林敏儀</t>
  </si>
  <si>
    <t>F657</t>
  </si>
  <si>
    <t>SEED#26,27</t>
  </si>
  <si>
    <r>
      <rPr>
        <sz val="14"/>
        <rFont val="Calibri"/>
        <family val="2"/>
        <charset val="1"/>
      </rPr>
      <t>Loveu</t>
    </r>
    <r>
      <rPr>
        <sz val="14"/>
        <rFont val="Microsoft YaHei"/>
        <family val="2"/>
        <charset val="136"/>
      </rPr>
      <t>送剛</t>
    </r>
  </si>
  <si>
    <t>賴家敏</t>
  </si>
  <si>
    <t>F777</t>
  </si>
  <si>
    <t>陳梓淳</t>
  </si>
  <si>
    <t>F553</t>
  </si>
  <si>
    <t>顯耀</t>
  </si>
  <si>
    <t>林芷晴</t>
  </si>
  <si>
    <t>F603</t>
  </si>
  <si>
    <t>楊麗娟</t>
  </si>
  <si>
    <t>SEED#28,29</t>
  </si>
  <si>
    <t>昭耀</t>
  </si>
  <si>
    <t>楊鎧仁</t>
  </si>
  <si>
    <t>謝尹斯</t>
  </si>
  <si>
    <t>F783</t>
  </si>
  <si>
    <t>HEUI</t>
  </si>
  <si>
    <t>柯栩華</t>
  </si>
  <si>
    <t>F793</t>
  </si>
  <si>
    <t>徐希如</t>
  </si>
  <si>
    <t>ELLY</t>
  </si>
  <si>
    <t>謝思行</t>
  </si>
  <si>
    <t>鄒凱喬</t>
  </si>
  <si>
    <t>加路連山道</t>
  </si>
  <si>
    <t>黃煒恩</t>
  </si>
  <si>
    <t>柯均宜</t>
  </si>
  <si>
    <t>F506</t>
  </si>
  <si>
    <r>
      <rPr>
        <sz val="14"/>
        <rFont val="Calibri"/>
        <family val="2"/>
        <charset val="1"/>
      </rPr>
      <t>ALPS-</t>
    </r>
    <r>
      <rPr>
        <sz val="14"/>
        <rFont val="Microsoft YaHei"/>
        <family val="2"/>
        <charset val="136"/>
      </rPr>
      <t>冰紅茶</t>
    </r>
  </si>
  <si>
    <t>鍾慧樺</t>
  </si>
  <si>
    <t>F450</t>
  </si>
  <si>
    <t>曾子紅</t>
  </si>
  <si>
    <t>F560</t>
  </si>
  <si>
    <t>KT</t>
  </si>
  <si>
    <t>吳樂彤</t>
  </si>
  <si>
    <t>F565</t>
  </si>
  <si>
    <t>冼寶琪</t>
  </si>
  <si>
    <t>F157</t>
  </si>
  <si>
    <t>Ma Ling</t>
  </si>
  <si>
    <t>蔡淳茵</t>
  </si>
  <si>
    <t>鄧秀玲</t>
  </si>
  <si>
    <t>YSYL</t>
  </si>
  <si>
    <t>葉萃茹</t>
  </si>
  <si>
    <t>F520</t>
  </si>
  <si>
    <t>葉萃苓</t>
  </si>
  <si>
    <t>F696</t>
  </si>
  <si>
    <t>SEED#36-64</t>
  </si>
  <si>
    <t>你個野壞咗</t>
  </si>
  <si>
    <t>吳詠兒</t>
  </si>
  <si>
    <t>F736</t>
  </si>
  <si>
    <t>李翠敏</t>
  </si>
  <si>
    <t>F759</t>
  </si>
  <si>
    <t>雙曉妹</t>
  </si>
  <si>
    <t>伍曉雪</t>
  </si>
  <si>
    <t>F704</t>
  </si>
  <si>
    <t>黃曉瑩</t>
  </si>
  <si>
    <t>F579</t>
  </si>
  <si>
    <t>零防守</t>
  </si>
  <si>
    <t>陳芷晴</t>
  </si>
  <si>
    <t>段雙雙</t>
  </si>
  <si>
    <t>F785</t>
  </si>
  <si>
    <t>見字飲水</t>
  </si>
  <si>
    <t>曾梓欣</t>
  </si>
  <si>
    <t>劉鈞妍</t>
  </si>
  <si>
    <t>C+May</t>
  </si>
  <si>
    <t>任海盈</t>
  </si>
  <si>
    <t>施嘉希</t>
  </si>
  <si>
    <t>SEED#64</t>
  </si>
  <si>
    <t>憑乜野</t>
  </si>
  <si>
    <t>廖廷茵</t>
  </si>
  <si>
    <t>雷穎詩</t>
  </si>
  <si>
    <t>KTL1</t>
  </si>
  <si>
    <t>楊梓澄</t>
  </si>
  <si>
    <t>邱沛縈</t>
  </si>
  <si>
    <t>KTL2</t>
  </si>
  <si>
    <t>鄒彥菁</t>
  </si>
  <si>
    <t>張綽穎</t>
  </si>
  <si>
    <t>黎啦喂</t>
  </si>
  <si>
    <t>李敏婷</t>
  </si>
  <si>
    <t xml:space="preserve">F740 </t>
  </si>
  <si>
    <t>謝海茵</t>
  </si>
  <si>
    <t>F676</t>
  </si>
  <si>
    <t>佛系世一</t>
  </si>
  <si>
    <t>陳嘉慧</t>
  </si>
  <si>
    <t>聞曦晴</t>
  </si>
  <si>
    <t>DB Rainbow</t>
  </si>
  <si>
    <t>林潔欣</t>
  </si>
  <si>
    <t>林泳兒</t>
  </si>
  <si>
    <t>Bulubulu</t>
  </si>
  <si>
    <t>黎詠思</t>
  </si>
  <si>
    <t>陳施敏</t>
  </si>
  <si>
    <t>夏日姑姑茶</t>
  </si>
  <si>
    <t>余藹殷</t>
  </si>
  <si>
    <t>F526</t>
  </si>
  <si>
    <t>陳綺琪</t>
  </si>
  <si>
    <t>F242</t>
  </si>
  <si>
    <t>USA-NZ</t>
  </si>
  <si>
    <t>Emma Preston</t>
  </si>
  <si>
    <t>F760</t>
  </si>
  <si>
    <t>Mariko Lytell</t>
  </si>
  <si>
    <t>IC</t>
  </si>
  <si>
    <t>鄧靜敏</t>
  </si>
  <si>
    <t>F624</t>
  </si>
  <si>
    <t>莊建芬</t>
  </si>
  <si>
    <t>OUT OUT</t>
  </si>
  <si>
    <t>戴文君</t>
  </si>
  <si>
    <t>F593</t>
  </si>
  <si>
    <t>林貞貞</t>
  </si>
  <si>
    <t>廖烙敏</t>
  </si>
  <si>
    <t>陳芷蔚</t>
  </si>
  <si>
    <t>文武雙全</t>
  </si>
  <si>
    <t>陳姵妍</t>
  </si>
  <si>
    <t>陳凱晴</t>
  </si>
  <si>
    <t>Cheers</t>
  </si>
  <si>
    <t>潘曉林</t>
  </si>
  <si>
    <t>F194</t>
  </si>
  <si>
    <t>陳梓筠</t>
  </si>
  <si>
    <t>SCAA Mang Ling</t>
  </si>
  <si>
    <t>萬莉</t>
  </si>
  <si>
    <t>F651</t>
  </si>
  <si>
    <t>麥芷綾</t>
  </si>
  <si>
    <t>sui4</t>
  </si>
  <si>
    <t>張紫晴</t>
  </si>
  <si>
    <t>陳卓藍</t>
  </si>
  <si>
    <t>希其</t>
  </si>
  <si>
    <t>楊穎其</t>
  </si>
  <si>
    <t>周希姸</t>
  </si>
  <si>
    <t>YB</t>
  </si>
  <si>
    <t>黃凱欣</t>
  </si>
  <si>
    <t>F276</t>
  </si>
  <si>
    <t>何寶宜</t>
  </si>
  <si>
    <t>F720</t>
  </si>
  <si>
    <t>鬼俺眼</t>
  </si>
  <si>
    <t>黃芷欣</t>
  </si>
  <si>
    <t>F666</t>
  </si>
  <si>
    <t>張嘉慧</t>
  </si>
  <si>
    <t>難搞喔</t>
  </si>
  <si>
    <t>張炫琳</t>
  </si>
  <si>
    <t>余雯雯</t>
  </si>
  <si>
    <t>必賢</t>
  </si>
  <si>
    <t>鄧真如</t>
  </si>
  <si>
    <t>陳思穎</t>
  </si>
  <si>
    <t>乒鈴嘭唥</t>
  </si>
  <si>
    <t>周鎧泓</t>
  </si>
  <si>
    <t>梁嘉琪</t>
  </si>
  <si>
    <t>竹籤與魚蛋</t>
  </si>
  <si>
    <t>黃思雅</t>
  </si>
  <si>
    <t>雷可盈</t>
  </si>
  <si>
    <t>女子組：</t>
  </si>
  <si>
    <r>
      <rPr>
        <sz val="12"/>
        <color rgb="FF000000"/>
        <rFont val="新細明體"/>
        <family val="1"/>
        <charset val="136"/>
      </rPr>
      <t>第</t>
    </r>
    <r>
      <rPr>
        <sz val="12"/>
        <color rgb="FF000000"/>
        <rFont val="Calibri"/>
        <family val="2"/>
        <charset val="1"/>
      </rPr>
      <t>25-64</t>
    </r>
    <r>
      <rPr>
        <sz val="12"/>
        <color rgb="FF000000"/>
        <rFont val="新細明體"/>
        <family val="1"/>
        <charset val="136"/>
      </rPr>
      <t>種子進行淘汰賽，賽出資格並分配於各組內。</t>
    </r>
  </si>
  <si>
    <t>15:4, 19:17</t>
  </si>
  <si>
    <t>15:10, 14:16, 9:15</t>
  </si>
  <si>
    <t>QT32</t>
  </si>
  <si>
    <t>15:8, 15:7</t>
  </si>
  <si>
    <t>KTL2 NO SHOW</t>
  </si>
  <si>
    <r>
      <rPr>
        <sz val="12"/>
        <color rgb="FF000000"/>
        <rFont val="Microsoft YaHei"/>
        <family val="2"/>
        <charset val="136"/>
      </rPr>
      <t xml:space="preserve">黎啦喂 </t>
    </r>
    <r>
      <rPr>
        <sz val="12"/>
        <color rgb="FF000000"/>
        <rFont val="Calibri"/>
        <family val="2"/>
        <charset val="1"/>
      </rPr>
      <t>NO SHOW</t>
    </r>
  </si>
  <si>
    <t>15:7, 15:9</t>
  </si>
  <si>
    <t>11:15, 10:15</t>
  </si>
  <si>
    <t>12:15, 10:15</t>
  </si>
  <si>
    <t>7:15, 7:15</t>
  </si>
  <si>
    <t>12:15, 3:15</t>
  </si>
  <si>
    <t>15:13, 11:15, 17:15</t>
  </si>
  <si>
    <t>13:15, 13:15</t>
  </si>
  <si>
    <t>15:12, 15:4</t>
  </si>
  <si>
    <t>15:4, 15:10</t>
  </si>
  <si>
    <t>5:15, 2:15</t>
  </si>
  <si>
    <t>15:1, 15:1</t>
  </si>
  <si>
    <r>
      <rPr>
        <sz val="12"/>
        <color rgb="FF000000"/>
        <rFont val="Microsoft YaHei"/>
        <family val="2"/>
        <charset val="136"/>
      </rPr>
      <t>佛系世一</t>
    </r>
    <r>
      <rPr>
        <sz val="12"/>
        <color rgb="FF000000"/>
        <rFont val="Calibri"/>
        <family val="2"/>
        <charset val="1"/>
      </rPr>
      <t>NO SHOW</t>
    </r>
  </si>
  <si>
    <r>
      <rPr>
        <sz val="12"/>
        <color rgb="FF000000"/>
        <rFont val="Microsoft YaHei"/>
        <family val="2"/>
        <charset val="136"/>
      </rPr>
      <t xml:space="preserve">憑乜野 </t>
    </r>
    <r>
      <rPr>
        <sz val="12"/>
        <color rgb="FF000000"/>
        <rFont val="Calibri"/>
        <family val="2"/>
        <charset val="1"/>
      </rPr>
      <t>NO SHOW</t>
    </r>
  </si>
  <si>
    <t>16:14, 12:15, 12:15</t>
  </si>
  <si>
    <t>6:15, 5:15</t>
  </si>
  <si>
    <t>15:11, 15:7</t>
  </si>
  <si>
    <t>10:15, 5:15</t>
  </si>
  <si>
    <t>15:0, 15:4</t>
  </si>
  <si>
    <t>15:5, 10:15, 8:15</t>
  </si>
  <si>
    <t>15:7, 15:13</t>
  </si>
  <si>
    <t>OUTOUT NO SHOW</t>
  </si>
  <si>
    <t>7:15, 6:15</t>
  </si>
  <si>
    <t>Cheers NO SHOW</t>
  </si>
  <si>
    <t>9:15, 10:15</t>
  </si>
  <si>
    <t>1511, 15:10</t>
  </si>
  <si>
    <t>15:12, 15:11</t>
  </si>
  <si>
    <t>18:16, 15:11</t>
  </si>
  <si>
    <t>女子組</t>
  </si>
  <si>
    <r>
      <rPr>
        <sz val="12"/>
        <color rgb="FF000000"/>
        <rFont val="Calibri"/>
        <family val="2"/>
        <charset val="1"/>
      </rPr>
      <t xml:space="preserve">i. </t>
    </r>
    <r>
      <rPr>
        <sz val="12"/>
        <color rgb="FF000000"/>
        <rFont val="微軟正黑體"/>
        <family val="2"/>
        <charset val="1"/>
      </rPr>
      <t>以種子分（</t>
    </r>
    <r>
      <rPr>
        <sz val="12"/>
        <color rgb="FF000000"/>
        <rFont val="Calibri"/>
        <family val="2"/>
        <charset val="1"/>
      </rPr>
      <t>SEEDING POINT</t>
    </r>
    <r>
      <rPr>
        <sz val="12"/>
        <color rgb="FF000000"/>
        <rFont val="微軟正黑體"/>
        <family val="2"/>
        <charset val="1"/>
      </rPr>
      <t>）排列種子隊。</t>
    </r>
  </si>
  <si>
    <r>
      <rPr>
        <sz val="12"/>
        <color rgb="FF000000"/>
        <rFont val="Calibri"/>
        <family val="2"/>
        <charset val="1"/>
      </rPr>
      <t xml:space="preserve">ii. </t>
    </r>
    <r>
      <rPr>
        <sz val="12"/>
        <rFont val="微軟正黑體"/>
        <family val="2"/>
        <charset val="1"/>
      </rPr>
      <t>第</t>
    </r>
    <r>
      <rPr>
        <sz val="12"/>
        <rFont val="Calibri"/>
        <family val="2"/>
        <charset val="1"/>
      </rPr>
      <t>1</t>
    </r>
    <r>
      <rPr>
        <sz val="12"/>
        <rFont val="微軟正黑體"/>
        <family val="2"/>
        <charset val="1"/>
      </rPr>
      <t>至第</t>
    </r>
    <r>
      <rPr>
        <sz val="12"/>
        <rFont val="Calibri"/>
        <family val="2"/>
        <charset val="1"/>
      </rPr>
      <t>24</t>
    </r>
    <r>
      <rPr>
        <sz val="12"/>
        <rFont val="微軟正黑體"/>
        <family val="2"/>
        <charset val="1"/>
      </rPr>
      <t>種子依次編入</t>
    </r>
    <r>
      <rPr>
        <sz val="12"/>
        <rFont val="Calibri"/>
        <family val="2"/>
        <charset val="1"/>
      </rPr>
      <t>A</t>
    </r>
    <r>
      <rPr>
        <sz val="12"/>
        <rFont val="微軟正黑體"/>
        <family val="2"/>
        <charset val="1"/>
      </rPr>
      <t>至</t>
    </r>
    <r>
      <rPr>
        <sz val="12"/>
        <rFont val="Calibri"/>
        <family val="2"/>
        <charset val="1"/>
      </rPr>
      <t>H</t>
    </r>
    <r>
      <rPr>
        <sz val="12"/>
        <rFont val="微軟正黑體"/>
        <family val="2"/>
        <charset val="1"/>
      </rPr>
      <t>組。</t>
    </r>
  </si>
  <si>
    <r>
      <rPr>
        <sz val="12"/>
        <rFont val="Calibri"/>
        <family val="2"/>
        <charset val="1"/>
      </rPr>
      <t xml:space="preserve">iii. </t>
    </r>
    <r>
      <rPr>
        <sz val="12"/>
        <rFont val="微軟正黑體"/>
        <family val="2"/>
        <charset val="1"/>
      </rPr>
      <t>其餘隊伍根據抽籤及資格賽成績分配於各組內。</t>
    </r>
  </si>
  <si>
    <r>
      <rPr>
        <sz val="12"/>
        <color rgb="FF000000"/>
        <rFont val="Calibri"/>
        <family val="2"/>
        <charset val="1"/>
      </rPr>
      <t xml:space="preserve">iv. </t>
    </r>
    <r>
      <rPr>
        <sz val="12"/>
        <color rgb="FF000000"/>
        <rFont val="微軟正黑體"/>
        <family val="2"/>
        <charset val="1"/>
      </rPr>
      <t>資格賽賽程詳見</t>
    </r>
    <r>
      <rPr>
        <sz val="12"/>
        <color rgb="FF000000"/>
        <rFont val="Calibri"/>
        <family val="2"/>
        <charset val="1"/>
      </rPr>
      <t>WQTFormat</t>
    </r>
  </si>
  <si>
    <r>
      <rPr>
        <sz val="12"/>
        <rFont val="微軟正黑體"/>
        <family val="2"/>
        <charset val="1"/>
      </rPr>
      <t>第三名為名次</t>
    </r>
    <r>
      <rPr>
        <sz val="12"/>
        <rFont val="Calibri"/>
        <family val="2"/>
        <charset val="1"/>
      </rPr>
      <t>17</t>
    </r>
    <r>
      <rPr>
        <sz val="12"/>
        <rFont val="微軟正黑體"/>
        <family val="2"/>
        <charset val="1"/>
      </rPr>
      <t>得</t>
    </r>
    <r>
      <rPr>
        <sz val="12"/>
        <rFont val="Calibri"/>
        <family val="2"/>
        <charset val="1"/>
      </rPr>
      <t>48</t>
    </r>
    <r>
      <rPr>
        <sz val="12"/>
        <rFont val="微軟正黑體"/>
        <family val="2"/>
        <charset val="1"/>
      </rPr>
      <t>種子分。</t>
    </r>
  </si>
  <si>
    <r>
      <rPr>
        <sz val="12"/>
        <rFont val="微軟正黑體"/>
        <family val="2"/>
        <charset val="1"/>
      </rPr>
      <t>第四名為名次</t>
    </r>
    <r>
      <rPr>
        <sz val="12"/>
        <rFont val="Calibri"/>
        <family val="2"/>
        <charset val="1"/>
      </rPr>
      <t>25</t>
    </r>
    <r>
      <rPr>
        <sz val="12"/>
        <rFont val="微軟正黑體"/>
        <family val="2"/>
        <charset val="1"/>
      </rPr>
      <t>得</t>
    </r>
    <r>
      <rPr>
        <sz val="12"/>
        <rFont val="Calibri"/>
        <family val="2"/>
        <charset val="1"/>
      </rPr>
      <t>36</t>
    </r>
    <r>
      <rPr>
        <sz val="12"/>
        <rFont val="微軟正黑體"/>
        <family val="2"/>
        <charset val="1"/>
      </rPr>
      <t>種子分。</t>
    </r>
  </si>
  <si>
    <r>
      <rPr>
        <sz val="12"/>
        <color rgb="FF000000"/>
        <rFont val="Calibri"/>
        <family val="2"/>
        <charset val="1"/>
      </rPr>
      <t>16</t>
    </r>
    <r>
      <rPr>
        <sz val="12"/>
        <color rgb="FF000000"/>
        <rFont val="微軟正黑體"/>
        <family val="2"/>
        <charset val="1"/>
      </rPr>
      <t>隊進行淘汰賽，賽出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微軟正黑體"/>
        <family val="2"/>
        <charset val="1"/>
      </rPr>
      <t>至</t>
    </r>
    <r>
      <rPr>
        <sz val="12"/>
        <color rgb="FF000000"/>
        <rFont val="Calibri"/>
        <family val="2"/>
        <charset val="1"/>
      </rPr>
      <t>9</t>
    </r>
    <r>
      <rPr>
        <sz val="12"/>
        <color rgb="FF000000"/>
        <rFont val="微軟正黑體"/>
        <family val="2"/>
        <charset val="1"/>
      </rPr>
      <t>名次。</t>
    </r>
  </si>
  <si>
    <t>W1</t>
  </si>
  <si>
    <t>21:4, 21:5</t>
  </si>
  <si>
    <t>W9</t>
  </si>
  <si>
    <t>21:5, 21:11</t>
  </si>
  <si>
    <t>W2</t>
  </si>
  <si>
    <t>葵青-啫喱冰冰 forfeits due to injury</t>
  </si>
  <si>
    <t>W13</t>
  </si>
  <si>
    <t>W3</t>
  </si>
  <si>
    <t>17:21, 10:21</t>
  </si>
  <si>
    <t>W10</t>
  </si>
  <si>
    <r>
      <rPr>
        <sz val="12"/>
        <color rgb="FF000000"/>
        <rFont val="Microsoft YaHei"/>
        <family val="2"/>
        <charset val="136"/>
      </rPr>
      <t xml:space="preserve">初次出道 </t>
    </r>
    <r>
      <rPr>
        <sz val="12"/>
        <color rgb="FF000000"/>
        <rFont val="Calibri"/>
        <family val="2"/>
        <charset val="1"/>
      </rPr>
      <t>forfeits due to injury</t>
    </r>
  </si>
  <si>
    <t>W4</t>
  </si>
  <si>
    <t>10:21, 9:21</t>
  </si>
  <si>
    <t>W16</t>
  </si>
  <si>
    <t>W5</t>
  </si>
  <si>
    <t>21:2, 21:10</t>
  </si>
  <si>
    <t>W11</t>
  </si>
  <si>
    <t>ALPS-Pillarsports (B) forfeits due to injury</t>
  </si>
  <si>
    <t>ALPS-冰紅茶</t>
  </si>
  <si>
    <t>W6</t>
  </si>
  <si>
    <t>15:21, 15:21</t>
  </si>
  <si>
    <t>W14</t>
  </si>
  <si>
    <t>W7</t>
  </si>
  <si>
    <t>21:15, 21:17</t>
  </si>
  <si>
    <t>W12</t>
  </si>
  <si>
    <t>13:21, 12:21</t>
  </si>
  <si>
    <t>W15</t>
  </si>
  <si>
    <t>W8</t>
  </si>
  <si>
    <t>RUNA forfeits due to injury</t>
  </si>
  <si>
    <t>ALPS-Pillarsports (B)</t>
  </si>
  <si>
    <t>ALPS-動靜皆宜</t>
  </si>
  <si>
    <t>Playing Schedule (Women's)</t>
  </si>
  <si>
    <r>
      <rPr>
        <b/>
        <sz val="18"/>
        <rFont val="新細明體"/>
        <family val="1"/>
        <charset val="136"/>
      </rPr>
      <t xml:space="preserve">賽程表 </t>
    </r>
    <r>
      <rPr>
        <b/>
        <sz val="18"/>
        <rFont val="Calibri"/>
        <family val="2"/>
        <charset val="1"/>
      </rPr>
      <t>(</t>
    </r>
    <r>
      <rPr>
        <b/>
        <sz val="18"/>
        <rFont val="新細明體"/>
        <family val="1"/>
        <charset val="136"/>
      </rPr>
      <t>女子組</t>
    </r>
    <r>
      <rPr>
        <b/>
        <sz val="18"/>
        <rFont val="Calibri"/>
        <family val="2"/>
        <charset val="1"/>
      </rPr>
      <t>)</t>
    </r>
  </si>
  <si>
    <r>
      <rPr>
        <sz val="12"/>
        <rFont val="Calibri"/>
        <family val="2"/>
        <charset val="1"/>
      </rPr>
      <t>ALPS-</t>
    </r>
    <r>
      <rPr>
        <sz val="12"/>
        <rFont val="Microsoft YaHei"/>
        <family val="2"/>
        <charset val="136"/>
      </rPr>
      <t>冰紅茶</t>
    </r>
  </si>
  <si>
    <t>21:5, 21:12</t>
  </si>
  <si>
    <t>4:21, 25:23</t>
  </si>
  <si>
    <t>21:10, 21:10</t>
  </si>
  <si>
    <t>22:20, 18:21</t>
  </si>
  <si>
    <t>20:22, 6:21</t>
  </si>
  <si>
    <t>21:5, 21:9</t>
  </si>
  <si>
    <t>21:11, 21:10</t>
  </si>
  <si>
    <t>21:14, 21:9</t>
  </si>
  <si>
    <t>21:9, 21:12</t>
  </si>
  <si>
    <r>
      <rPr>
        <sz val="12"/>
        <rFont val="Calibri"/>
        <family val="2"/>
        <charset val="1"/>
      </rPr>
      <t>ALPS-</t>
    </r>
    <r>
      <rPr>
        <sz val="12"/>
        <rFont val="Microsoft YaHei"/>
        <family val="2"/>
        <charset val="136"/>
      </rPr>
      <t xml:space="preserve">稻八 </t>
    </r>
  </si>
  <si>
    <t>ALPS-Pillarsports (A)</t>
  </si>
  <si>
    <t>21:18, 16:21</t>
  </si>
  <si>
    <t>21:15, 18:21</t>
  </si>
  <si>
    <r>
      <rPr>
        <sz val="12"/>
        <rFont val="Calibri"/>
        <family val="2"/>
        <charset val="1"/>
      </rPr>
      <t>ALPS-</t>
    </r>
    <r>
      <rPr>
        <sz val="12"/>
        <rFont val="Microsoft YaHei"/>
        <family val="2"/>
        <charset val="136"/>
      </rPr>
      <t>動靜皆宜</t>
    </r>
  </si>
  <si>
    <t>21:17, 21:9</t>
  </si>
  <si>
    <t>21:10, 21:13</t>
  </si>
  <si>
    <t>21:7, 21:11</t>
  </si>
  <si>
    <t>21:4, 21:10</t>
  </si>
  <si>
    <t>21:19, 21:10</t>
  </si>
  <si>
    <t>21:13, 21:17</t>
  </si>
  <si>
    <t>21:11, 21:8</t>
  </si>
  <si>
    <t>21:6, 21:7</t>
  </si>
  <si>
    <t>18:21, 16:21</t>
  </si>
  <si>
    <t>21:7, 21:12</t>
  </si>
  <si>
    <r>
      <rPr>
        <sz val="12"/>
        <rFont val="Microsoft YaHei"/>
        <family val="2"/>
        <charset val="136"/>
      </rPr>
      <t>葵青</t>
    </r>
    <r>
      <rPr>
        <sz val="12"/>
        <rFont val="Calibri"/>
        <family val="2"/>
        <charset val="1"/>
      </rPr>
      <t>-</t>
    </r>
    <r>
      <rPr>
        <sz val="12"/>
        <rFont val="Microsoft YaHei"/>
        <family val="2"/>
        <charset val="136"/>
      </rPr>
      <t>啫喱冰冰</t>
    </r>
  </si>
  <si>
    <t>21:9, 21:16</t>
  </si>
  <si>
    <t>21:17, 21:23</t>
  </si>
  <si>
    <t>14:21, 20:22</t>
  </si>
  <si>
    <t>13:21, 16:21</t>
  </si>
  <si>
    <t>21:19, 20:22</t>
  </si>
  <si>
    <t>17:21, 21:18</t>
  </si>
  <si>
    <t>11:21, 21:18</t>
  </si>
  <si>
    <t>21:14, 21:17</t>
  </si>
  <si>
    <t>21:16, 21:12</t>
  </si>
  <si>
    <t>21:14, 21:7</t>
  </si>
  <si>
    <t>21:19, 15:21</t>
  </si>
  <si>
    <t>USA-NZ forfeits due to injury</t>
  </si>
  <si>
    <r>
      <rPr>
        <sz val="12"/>
        <rFont val="Microsoft YaHei"/>
        <family val="2"/>
        <charset val="136"/>
      </rPr>
      <t xml:space="preserve">求奇 </t>
    </r>
    <r>
      <rPr>
        <sz val="12"/>
        <rFont val="Calibri"/>
        <family val="2"/>
        <charset val="1"/>
      </rPr>
      <t>forfeits due to injury</t>
    </r>
  </si>
  <si>
    <t>17:21, 21:17</t>
  </si>
  <si>
    <t>Both teams forfeit due to injury</t>
  </si>
  <si>
    <t>21:10, 21:7</t>
  </si>
  <si>
    <t>21:14, 21:13</t>
  </si>
  <si>
    <t>21:15, 21:16</t>
  </si>
  <si>
    <t>12:21, 9:21</t>
  </si>
  <si>
    <r>
      <rPr>
        <b/>
        <sz val="12"/>
        <rFont val="Calibri"/>
        <family val="2"/>
        <charset val="1"/>
      </rPr>
      <t xml:space="preserve"> 2021 </t>
    </r>
    <r>
      <rPr>
        <b/>
        <sz val="12"/>
        <rFont val="Microsoft JhengHei"/>
        <family val="2"/>
        <charset val="136"/>
      </rPr>
      <t>康文盃沙灘排球公開賽</t>
    </r>
  </si>
  <si>
    <t>2021 LCSD Cup Beach Volleyball Open Time-table</t>
  </si>
  <si>
    <t>The Playing Schedule MAY BE affected by the progression of previous or AM section match days</t>
  </si>
  <si>
    <t>賽程可能被上周或當日未能完成的賽事之進度影響</t>
  </si>
  <si>
    <r>
      <rPr>
        <b/>
        <u/>
        <sz val="12"/>
        <rFont val="Calibri"/>
        <family val="2"/>
        <charset val="1"/>
      </rPr>
      <t xml:space="preserve">2021/10/23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</si>
  <si>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2021/10/24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</si>
  <si>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MA1</t>
  </si>
  <si>
    <t>1st digit</t>
  </si>
  <si>
    <r>
      <rPr>
        <sz val="12"/>
        <rFont val="Calibri"/>
        <family val="2"/>
        <charset val="1"/>
      </rPr>
      <t xml:space="preserve">M -Men </t>
    </r>
    <r>
      <rPr>
        <sz val="12"/>
        <rFont val="Microsoft JhengHei"/>
        <family val="2"/>
        <charset val="136"/>
      </rPr>
      <t>男</t>
    </r>
  </si>
  <si>
    <r>
      <rPr>
        <sz val="12"/>
        <rFont val="Calibri"/>
        <family val="2"/>
        <charset val="1"/>
      </rPr>
      <t>W-Women</t>
    </r>
    <r>
      <rPr>
        <sz val="12"/>
        <rFont val="Microsoft JhengHei"/>
        <family val="2"/>
        <charset val="136"/>
      </rPr>
      <t>女</t>
    </r>
  </si>
  <si>
    <t>Starting Time</t>
  </si>
  <si>
    <t>Serial No.</t>
  </si>
  <si>
    <r>
      <rPr>
        <sz val="12"/>
        <rFont val="Calibri"/>
        <family val="2"/>
        <charset val="1"/>
      </rP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新細明體"/>
        <family val="1"/>
        <charset val="136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  <charset val="1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  <charset val="1"/>
      </rPr>
      <t>)</t>
    </r>
    <r>
      <rPr>
        <sz val="12"/>
        <rFont val="Microsoft JhengHei"/>
        <family val="2"/>
        <charset val="136"/>
      </rPr>
      <t>泳灘</t>
    </r>
  </si>
  <si>
    <t>2nd digit</t>
  </si>
  <si>
    <t>組別</t>
  </si>
  <si>
    <t>Division</t>
  </si>
  <si>
    <t>開始時間</t>
  </si>
  <si>
    <t>序號</t>
  </si>
  <si>
    <t>3rd digit</t>
  </si>
  <si>
    <t>Pool</t>
  </si>
  <si>
    <t>MQT11</t>
  </si>
  <si>
    <t>MQT12</t>
  </si>
  <si>
    <t>4th digit</t>
  </si>
  <si>
    <t>比賽編號</t>
  </si>
  <si>
    <t>MQT13</t>
  </si>
  <si>
    <t>MQT14</t>
  </si>
  <si>
    <t>MQT15</t>
  </si>
  <si>
    <t>MQT16</t>
  </si>
  <si>
    <t>MQT17</t>
  </si>
  <si>
    <t>MQT18</t>
  </si>
  <si>
    <t>MQT19</t>
  </si>
  <si>
    <t>MQT20</t>
  </si>
  <si>
    <t>MQT21</t>
  </si>
  <si>
    <t>MQT22</t>
  </si>
  <si>
    <t>LUNCH BREAK (T.B.C.)</t>
  </si>
  <si>
    <t>MQT1</t>
  </si>
  <si>
    <t>MQT2</t>
  </si>
  <si>
    <t>MQT23</t>
  </si>
  <si>
    <t>MQT24</t>
  </si>
  <si>
    <t>MQT3</t>
  </si>
  <si>
    <t>MQT4</t>
  </si>
  <si>
    <t>MQT25</t>
  </si>
  <si>
    <t>MQT26</t>
  </si>
  <si>
    <t>MQT5</t>
  </si>
  <si>
    <t>MQT6</t>
  </si>
  <si>
    <t>MQT27</t>
  </si>
  <si>
    <t>MQT28</t>
  </si>
  <si>
    <t>MQT7</t>
  </si>
  <si>
    <t>MQT8</t>
  </si>
  <si>
    <t>MQT29</t>
  </si>
  <si>
    <t>MQT30</t>
  </si>
  <si>
    <t>MQT9</t>
  </si>
  <si>
    <t>MQT10</t>
  </si>
  <si>
    <t>MQT31</t>
  </si>
  <si>
    <r>
      <rPr>
        <b/>
        <u/>
        <sz val="12"/>
        <rFont val="Calibri"/>
        <family val="2"/>
        <charset val="1"/>
      </rPr>
      <t xml:space="preserve">2021/10/30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</si>
  <si>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2021/10/31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</si>
  <si>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WQT11</t>
  </si>
  <si>
    <t>WQT12</t>
  </si>
  <si>
    <t>WQT13</t>
  </si>
  <si>
    <t>WQT14</t>
  </si>
  <si>
    <t>WQT15</t>
  </si>
  <si>
    <t>WQT16</t>
  </si>
  <si>
    <t>WQT17</t>
  </si>
  <si>
    <t>WQT18</t>
  </si>
  <si>
    <t>WQT19</t>
  </si>
  <si>
    <t>WQT20</t>
  </si>
  <si>
    <t>WQT21</t>
  </si>
  <si>
    <t>WQT22</t>
  </si>
  <si>
    <t>WQT1</t>
  </si>
  <si>
    <t>WQT2</t>
  </si>
  <si>
    <t>WQT23</t>
  </si>
  <si>
    <t>WQT24</t>
  </si>
  <si>
    <t>WQT3</t>
  </si>
  <si>
    <t>WQT4</t>
  </si>
  <si>
    <t>WQT25</t>
  </si>
  <si>
    <t>WQT26</t>
  </si>
  <si>
    <t>WQT5</t>
  </si>
  <si>
    <t>WQT6</t>
  </si>
  <si>
    <t>WQT27</t>
  </si>
  <si>
    <t>WQT28</t>
  </si>
  <si>
    <t>WQT7</t>
  </si>
  <si>
    <t>WQT8</t>
  </si>
  <si>
    <t>WQT29</t>
  </si>
  <si>
    <t>WQT30</t>
  </si>
  <si>
    <t>WQT9</t>
  </si>
  <si>
    <t>WQT10</t>
  </si>
  <si>
    <t>WQT31</t>
  </si>
  <si>
    <t>WQT32</t>
  </si>
  <si>
    <t xml:space="preserve"> </t>
  </si>
  <si>
    <r>
      <rPr>
        <b/>
        <u/>
        <sz val="12"/>
        <rFont val="Calibri"/>
        <family val="2"/>
        <charset val="1"/>
      </rPr>
      <t xml:space="preserve">2021/11/6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</si>
  <si>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2021/11/7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</si>
  <si>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MC1</t>
  </si>
  <si>
    <t>MC2</t>
  </si>
  <si>
    <t>MD1</t>
  </si>
  <si>
    <t>MD2</t>
  </si>
  <si>
    <t>MC3</t>
  </si>
  <si>
    <t>MC4</t>
  </si>
  <si>
    <t>MD3</t>
  </si>
  <si>
    <t>MD4</t>
  </si>
  <si>
    <t>ME1</t>
  </si>
  <si>
    <t>ME2</t>
  </si>
  <si>
    <t>MA2</t>
  </si>
  <si>
    <t>MF1</t>
  </si>
  <si>
    <t>MF2</t>
  </si>
  <si>
    <t>MB1</t>
  </si>
  <si>
    <t>MB2</t>
  </si>
  <si>
    <t>MC6</t>
  </si>
  <si>
    <t>MC5</t>
  </si>
  <si>
    <t>MA3</t>
  </si>
  <si>
    <t>MA4</t>
  </si>
  <si>
    <t>MD6</t>
  </si>
  <si>
    <t>MD5</t>
  </si>
  <si>
    <t>MB3</t>
  </si>
  <si>
    <t>MB4</t>
  </si>
  <si>
    <r>
      <rPr>
        <b/>
        <u/>
        <sz val="12"/>
        <rFont val="Calibri"/>
        <family val="2"/>
        <charset val="1"/>
      </rPr>
      <t xml:space="preserve">2021/11/13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</si>
  <si>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2021/11/14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</si>
  <si>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MG1</t>
  </si>
  <si>
    <t>MG2</t>
  </si>
  <si>
    <t>MH1</t>
  </si>
  <si>
    <t>MH2</t>
  </si>
  <si>
    <t>MG3</t>
  </si>
  <si>
    <t>MG4</t>
  </si>
  <si>
    <t>MH3</t>
  </si>
  <si>
    <t>MH4</t>
  </si>
  <si>
    <t>MA6</t>
  </si>
  <si>
    <t>MA5</t>
  </si>
  <si>
    <t>ME3</t>
  </si>
  <si>
    <t>ME4</t>
  </si>
  <si>
    <t>MB6</t>
  </si>
  <si>
    <t>MB5</t>
  </si>
  <si>
    <t>MF3</t>
  </si>
  <si>
    <t>MF4</t>
  </si>
  <si>
    <t>MG6</t>
  </si>
  <si>
    <t>MG5</t>
  </si>
  <si>
    <t>ME6</t>
  </si>
  <si>
    <t>ME5</t>
  </si>
  <si>
    <t>MH6</t>
  </si>
  <si>
    <t>MH5</t>
  </si>
  <si>
    <t>MF6</t>
  </si>
  <si>
    <t>MF5</t>
  </si>
  <si>
    <r>
      <rPr>
        <b/>
        <u/>
        <sz val="12"/>
        <rFont val="Calibri"/>
        <family val="2"/>
        <charset val="1"/>
      </rPr>
      <t xml:space="preserve">2021/11/20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</si>
  <si>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2021/11/21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</si>
  <si>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WC1</t>
  </si>
  <si>
    <t>WC2</t>
  </si>
  <si>
    <t>WD1</t>
  </si>
  <si>
    <t>WD2</t>
  </si>
  <si>
    <t>WC3</t>
  </si>
  <si>
    <t>WC4</t>
  </si>
  <si>
    <t>WD3</t>
  </si>
  <si>
    <t>WD4</t>
  </si>
  <si>
    <t>WE1</t>
  </si>
  <si>
    <t>WE2</t>
  </si>
  <si>
    <t>WA1</t>
  </si>
  <si>
    <t>WA2</t>
  </si>
  <si>
    <t>WF1</t>
  </si>
  <si>
    <t>WF2</t>
  </si>
  <si>
    <t>WB1</t>
  </si>
  <si>
    <t>WB2</t>
  </si>
  <si>
    <t>WC6</t>
  </si>
  <si>
    <t>WC5</t>
  </si>
  <si>
    <t>WA3</t>
  </si>
  <si>
    <t>WA4</t>
  </si>
  <si>
    <t>WD6</t>
  </si>
  <si>
    <t>WD5</t>
  </si>
  <si>
    <t>WB3</t>
  </si>
  <si>
    <t>WB4</t>
  </si>
  <si>
    <r>
      <rPr>
        <b/>
        <u/>
        <sz val="12"/>
        <rFont val="Calibri"/>
        <family val="2"/>
        <charset val="1"/>
      </rPr>
      <t xml:space="preserve">2021/11/27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</si>
  <si>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2021/11/28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</si>
  <si>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WG1</t>
  </si>
  <si>
    <t>WG2</t>
  </si>
  <si>
    <t>WH1</t>
  </si>
  <si>
    <t>WH2</t>
  </si>
  <si>
    <t>WG3</t>
  </si>
  <si>
    <t>WG4</t>
  </si>
  <si>
    <t>WH3</t>
  </si>
  <si>
    <t>WH4</t>
  </si>
  <si>
    <t>WA6</t>
  </si>
  <si>
    <t>WA5</t>
  </si>
  <si>
    <t>WE3</t>
  </si>
  <si>
    <t>WE4</t>
  </si>
  <si>
    <t>WB6</t>
  </si>
  <si>
    <t>WB5</t>
  </si>
  <si>
    <t>WF3</t>
  </si>
  <si>
    <t>WF4</t>
  </si>
  <si>
    <t>WG6</t>
  </si>
  <si>
    <t>WG5</t>
  </si>
  <si>
    <t>WE6</t>
  </si>
  <si>
    <t>WE5</t>
  </si>
  <si>
    <t>WH6</t>
  </si>
  <si>
    <t>WH5</t>
  </si>
  <si>
    <t>WF6</t>
  </si>
  <si>
    <t>WF5</t>
  </si>
  <si>
    <r>
      <rPr>
        <b/>
        <u/>
        <sz val="12"/>
        <rFont val="Calibri"/>
        <family val="2"/>
        <charset val="136"/>
      </rPr>
      <t xml:space="preserve">2021/12/4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</si>
  <si>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36"/>
      </rPr>
      <t xml:space="preserve">2021/12/5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</si>
  <si>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12"/>
        <rFont val="Calibri"/>
        <family val="2"/>
        <charset val="136"/>
      </rPr>
      <t xml:space="preserve">M -Men </t>
    </r>
    <r>
      <rPr>
        <sz val="12"/>
        <rFont val="Microsoft JhengHei"/>
        <family val="2"/>
        <charset val="136"/>
      </rPr>
      <t>男</t>
    </r>
  </si>
  <si>
    <r>
      <rPr>
        <sz val="12"/>
        <rFont val="Calibri"/>
        <family val="2"/>
        <charset val="136"/>
      </rPr>
      <t>W-Women</t>
    </r>
    <r>
      <rPr>
        <sz val="12"/>
        <rFont val="Microsoft JhengHei"/>
        <family val="2"/>
        <charset val="136"/>
      </rPr>
      <t>女</t>
    </r>
  </si>
  <si>
    <r>
      <rPr>
        <sz val="12"/>
        <rFont val="Calibri"/>
        <family val="2"/>
        <charset val="136"/>
      </rP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新細明體"/>
        <family val="1"/>
        <charset val="136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  <charset val="1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  <charset val="1"/>
      </rPr>
      <t>)</t>
    </r>
    <r>
      <rPr>
        <sz val="12"/>
        <rFont val="Microsoft JhengHei"/>
        <family val="2"/>
        <charset val="136"/>
      </rPr>
      <t>泳灘</t>
    </r>
  </si>
  <si>
    <r>
      <rPr>
        <b/>
        <u/>
        <sz val="12"/>
        <rFont val="Calibri"/>
        <family val="2"/>
        <charset val="136"/>
      </rPr>
      <t xml:space="preserve">2021/12/11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</si>
  <si>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36"/>
      </rPr>
      <t xml:space="preserve">2021/12/12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</si>
  <si>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14:21, 21:15, 10:15</t>
  </si>
  <si>
    <t>21:17, 16:21, 14:16</t>
  </si>
  <si>
    <t>21:14, 21:10</t>
  </si>
  <si>
    <t>SCAA - 龖</t>
  </si>
  <si>
    <t>SCAA - 龖 forfeits due to injury</t>
  </si>
  <si>
    <t>21:15, 22:20</t>
  </si>
  <si>
    <t>14:21, 17:21</t>
  </si>
  <si>
    <t>21:23, 19:21</t>
  </si>
  <si>
    <t xml:space="preserve">ALPS-稻八 </t>
  </si>
  <si>
    <t>仁濟-ALPS</t>
  </si>
  <si>
    <t>i. 以種子分（SEEDING POINT）排列種子隊。</t>
  </si>
  <si>
    <r>
      <t xml:space="preserve">ii. </t>
    </r>
    <r>
      <rPr>
        <sz val="12"/>
        <rFont val="Calibri"/>
        <family val="2"/>
      </rPr>
      <t>第1至第24種子依次編入A至H組。</t>
    </r>
  </si>
  <si>
    <t>iii. 其餘隊伍根據抽籤及資格賽成績分配於各組內。</t>
  </si>
  <si>
    <t>iv. 資格賽賽程詳見MQTFormat</t>
  </si>
  <si>
    <t>第三名為名次17得48種子分。</t>
  </si>
  <si>
    <t>第四名為名次25得36種子分。</t>
  </si>
  <si>
    <t>16隊進行淘汰賽，賽出1至9名次。</t>
  </si>
  <si>
    <t>我要買G63</t>
  </si>
  <si>
    <t>ALPS-咪估</t>
  </si>
  <si>
    <t>ALPS 大埔</t>
  </si>
  <si>
    <t>西到2046</t>
  </si>
  <si>
    <t>SCAA肥高</t>
  </si>
  <si>
    <t>喂 Siri</t>
  </si>
  <si>
    <t>葵青-啫喱冰冰</t>
  </si>
  <si>
    <t>Loveu送剛</t>
  </si>
  <si>
    <t>S.potato NO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</si>
</sst>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89">
    <font>
      <sz val="12"/>
      <name val="Microsoft YaHei"/>
      <family val="2"/>
      <charset val="136"/>
    </font>
    <font>
      <sz val="12"/>
      <color rgb="FF000000"/>
      <name val="????"/>
      <family val="1"/>
      <charset val="1"/>
    </font>
    <font>
      <sz val="12"/>
      <color rgb="FF800080"/>
      <name val="????"/>
      <family val="1"/>
      <charset val="1"/>
    </font>
    <font>
      <sz val="12"/>
      <color rgb="FF008000"/>
      <name val="????"/>
      <family val="1"/>
      <charset val="1"/>
    </font>
    <font>
      <sz val="12"/>
      <color rgb="FF993300"/>
      <name val="????"/>
      <family val="1"/>
      <charset val="1"/>
    </font>
    <font>
      <sz val="12"/>
      <name val="????"/>
      <family val="1"/>
      <charset val="136"/>
    </font>
    <font>
      <b/>
      <sz val="15"/>
      <color rgb="FF003366"/>
      <name val="????"/>
      <family val="1"/>
      <charset val="1"/>
    </font>
    <font>
      <sz val="10"/>
      <color rgb="FF000000"/>
      <name val="Arial"/>
      <family val="2"/>
      <charset val="1"/>
    </font>
    <font>
      <b/>
      <sz val="13"/>
      <color rgb="FF003366"/>
      <name val="????"/>
      <family val="1"/>
      <charset val="1"/>
    </font>
    <font>
      <b/>
      <sz val="11"/>
      <color rgb="FF003366"/>
      <name val="????"/>
      <family val="1"/>
      <charset val="1"/>
    </font>
    <font>
      <sz val="18"/>
      <color rgb="FF003366"/>
      <name val="????"/>
      <family val="1"/>
      <charset val="1"/>
    </font>
    <font>
      <b/>
      <sz val="12"/>
      <color rgb="FF000000"/>
      <name val="????"/>
      <family val="1"/>
      <charset val="1"/>
    </font>
    <font>
      <sz val="12"/>
      <color rgb="FF333399"/>
      <name val="????"/>
      <family val="1"/>
      <charset val="1"/>
    </font>
    <font>
      <b/>
      <sz val="12"/>
      <color rgb="FF333333"/>
      <name val="????"/>
      <family val="1"/>
      <charset val="1"/>
    </font>
    <font>
      <sz val="12"/>
      <color rgb="FFFFFFFF"/>
      <name val="????"/>
      <family val="1"/>
      <charset val="1"/>
    </font>
    <font>
      <b/>
      <sz val="12"/>
      <color rgb="FFFF9900"/>
      <name val="????"/>
      <family val="1"/>
      <charset val="1"/>
    </font>
    <font>
      <i/>
      <sz val="12"/>
      <color rgb="FF808080"/>
      <name val="????"/>
      <family val="1"/>
      <charset val="1"/>
    </font>
    <font>
      <sz val="12"/>
      <color rgb="FFFF0000"/>
      <name val="????"/>
      <family val="1"/>
      <charset val="1"/>
    </font>
    <font>
      <b/>
      <sz val="12"/>
      <color rgb="FFFFFFFF"/>
      <name val="????"/>
      <family val="1"/>
      <charset val="1"/>
    </font>
    <font>
      <sz val="12"/>
      <color rgb="FFFF9900"/>
      <name val="????"/>
      <family val="1"/>
      <charset val="1"/>
    </font>
    <font>
      <sz val="12"/>
      <name val="新細明體"/>
      <family val="1"/>
      <charset val="136"/>
    </font>
    <font>
      <sz val="12"/>
      <color rgb="FF000000"/>
      <name val="Calibri"/>
      <family val="2"/>
      <charset val="1"/>
    </font>
    <font>
      <b/>
      <sz val="24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1"/>
      <name val="Microsoft YaHei"/>
      <family val="2"/>
      <charset val="136"/>
    </font>
    <font>
      <sz val="11"/>
      <name val="Calibri"/>
      <family val="2"/>
      <charset val="1"/>
    </font>
    <font>
      <sz val="11"/>
      <name val="Calibri"/>
      <family val="2"/>
      <charset val="136"/>
    </font>
    <font>
      <sz val="1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4"/>
      <name val="Microsoft YaHei"/>
      <family val="2"/>
      <charset val="136"/>
    </font>
    <font>
      <b/>
      <sz val="14"/>
      <name val="Microsoft YaHei"/>
      <family val="2"/>
      <charset val="136"/>
    </font>
    <font>
      <b/>
      <sz val="14"/>
      <name val="Calibri"/>
      <family val="2"/>
      <charset val="1"/>
    </font>
    <font>
      <b/>
      <sz val="14"/>
      <color rgb="FF0000FF"/>
      <name val="Microsoft YaHei"/>
      <family val="2"/>
      <charset val="136"/>
    </font>
    <font>
      <b/>
      <sz val="14"/>
      <color rgb="FF0000FF"/>
      <name val="Calibri"/>
      <family val="2"/>
      <charset val="1"/>
    </font>
    <font>
      <b/>
      <sz val="14"/>
      <color rgb="FFFF0000"/>
      <name val="Microsoft YaHei"/>
      <family val="2"/>
      <charset val="136"/>
    </font>
    <font>
      <b/>
      <sz val="14"/>
      <color rgb="FF3366FF"/>
      <name val="Calibri"/>
      <family val="2"/>
      <charset val="1"/>
    </font>
    <font>
      <sz val="14"/>
      <color rgb="FF0000FF"/>
      <name val="Calibri"/>
      <family val="2"/>
      <charset val="1"/>
    </font>
    <font>
      <sz val="14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4"/>
      <color rgb="FF0000FF"/>
      <name val="Microsoft YaHei"/>
      <family val="2"/>
      <charset val="136"/>
    </font>
    <font>
      <sz val="12"/>
      <color rgb="FF000000"/>
      <name val="Microsoft YaHei"/>
      <family val="2"/>
      <charset val="136"/>
    </font>
    <font>
      <sz val="12"/>
      <color rgb="FF000000"/>
      <name val="新細明體"/>
      <family val="1"/>
      <charset val="136"/>
    </font>
    <font>
      <sz val="12"/>
      <name val="Calibri"/>
      <family val="2"/>
      <charset val="1"/>
    </font>
    <font>
      <sz val="12"/>
      <color rgb="FF0000FF"/>
      <name val="Calibri"/>
      <family val="2"/>
      <charset val="1"/>
    </font>
    <font>
      <sz val="12"/>
      <color rgb="FF0000FF"/>
      <name val="Microsoft YaHei"/>
      <family val="2"/>
      <charset val="136"/>
    </font>
    <font>
      <b/>
      <sz val="12"/>
      <color rgb="FF000000"/>
      <name val="Microsoft YaHei"/>
      <family val="2"/>
      <charset val="136"/>
    </font>
    <font>
      <b/>
      <i/>
      <u/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u/>
      <sz val="12"/>
      <color rgb="FF000000"/>
      <name val="Microsoft YaHei"/>
      <family val="2"/>
      <charset val="136"/>
    </font>
    <font>
      <b/>
      <sz val="12"/>
      <name val="Microsoft YaHei"/>
      <family val="2"/>
      <charset val="136"/>
    </font>
    <font>
      <b/>
      <u/>
      <sz val="12"/>
      <color rgb="FF000000"/>
      <name val="Microsoft YaHei"/>
      <family val="2"/>
      <charset val="136"/>
    </font>
    <font>
      <u/>
      <sz val="12"/>
      <color rgb="FF000000"/>
      <name val="Microsoft YaHei"/>
      <family val="2"/>
      <charset val="136"/>
    </font>
    <font>
      <u/>
      <sz val="12"/>
      <color rgb="FF000000"/>
      <name val="Calibri"/>
      <family val="2"/>
      <charset val="1"/>
    </font>
    <font>
      <b/>
      <sz val="18"/>
      <name val="Calibri"/>
      <family val="2"/>
      <charset val="1"/>
    </font>
    <font>
      <b/>
      <sz val="18"/>
      <name val="Microsoft YaHei"/>
      <family val="2"/>
      <charset val="136"/>
    </font>
    <font>
      <b/>
      <sz val="18"/>
      <name val="新細明體"/>
      <family val="1"/>
      <charset val="136"/>
    </font>
    <font>
      <sz val="14"/>
      <name val="新細明體"/>
      <family val="1"/>
      <charset val="136"/>
    </font>
    <font>
      <b/>
      <i/>
      <sz val="12"/>
      <name val="新細明體"/>
      <family val="1"/>
      <charset val="136"/>
    </font>
    <font>
      <b/>
      <i/>
      <sz val="12"/>
      <name val="Microsoft YaHei"/>
      <family val="2"/>
      <charset val="136"/>
    </font>
    <font>
      <sz val="8"/>
      <name val="Calibri"/>
      <family val="2"/>
      <charset val="1"/>
    </font>
    <font>
      <sz val="8"/>
      <name val="Microsoft YaHei"/>
      <family val="2"/>
      <charset val="136"/>
    </font>
    <font>
      <sz val="12"/>
      <color rgb="FF000000"/>
      <name val="微軟正黑體"/>
      <family val="2"/>
      <charset val="1"/>
    </font>
    <font>
      <sz val="12"/>
      <name val="微軟正黑體"/>
      <family val="2"/>
      <charset val="1"/>
    </font>
    <font>
      <sz val="12"/>
      <color rgb="FF0000FF"/>
      <name val="新細明體"/>
      <family val="1"/>
      <charset val="136"/>
    </font>
    <font>
      <b/>
      <u/>
      <sz val="12"/>
      <name val="Microsoft YaHei"/>
      <family val="2"/>
      <charset val="136"/>
    </font>
    <font>
      <b/>
      <sz val="12"/>
      <name val="Calibri"/>
      <family val="2"/>
      <charset val="1"/>
    </font>
    <font>
      <b/>
      <sz val="12"/>
      <name val="Microsoft JhengHei"/>
      <family val="2"/>
      <charset val="136"/>
    </font>
    <font>
      <b/>
      <u/>
      <sz val="12"/>
      <name val="Calibri"/>
      <family val="2"/>
      <charset val="136"/>
    </font>
    <font>
      <b/>
      <sz val="12"/>
      <name val="Calibri"/>
      <family val="2"/>
      <charset val="136"/>
    </font>
    <font>
      <b/>
      <u/>
      <sz val="12"/>
      <name val="Calibri"/>
      <family val="2"/>
      <charset val="1"/>
    </font>
    <font>
      <b/>
      <u/>
      <sz val="12"/>
      <name val="Microsoft JhengHei"/>
      <family val="2"/>
      <charset val="136"/>
    </font>
    <font>
      <i/>
      <sz val="12"/>
      <name val="Calibri"/>
      <family val="2"/>
      <charset val="136"/>
    </font>
    <font>
      <sz val="12"/>
      <name val="Calibri"/>
      <family val="2"/>
      <charset val="136"/>
    </font>
    <font>
      <sz val="12"/>
      <name val="Microsoft JhengHei"/>
      <family val="2"/>
      <charset val="136"/>
    </font>
    <font>
      <i/>
      <sz val="12"/>
      <name val="Microsoft YaHei"/>
      <family val="2"/>
      <charset val="136"/>
    </font>
    <font>
      <b/>
      <sz val="12"/>
      <color rgb="FF000000"/>
      <name val="Microsoft YaHe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0000FF"/>
      <name val="Calibri"/>
      <family val="2"/>
    </font>
    <font>
      <b/>
      <i/>
      <u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name val="Microsoft YaHei"/>
      <family val="2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D966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D966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FBFB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00"/>
        <bgColor rgb="FFFFCC00"/>
      </patternFill>
    </fill>
    <fill>
      <patternFill patternType="solid">
        <fgColor rgb="FFA9D18E"/>
        <bgColor rgb="FFBFBFBF"/>
      </patternFill>
    </fill>
    <fill>
      <patternFill patternType="solid">
        <fgColor rgb="FFFFD966"/>
        <bgColor rgb="FFFFCC99"/>
      </patternFill>
    </fill>
    <fill>
      <patternFill patternType="solid">
        <fgColor rgb="FFBFBFBF"/>
        <bgColor rgb="FFC0C0C0"/>
      </patternFill>
    </fill>
  </fills>
  <borders count="5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7">
    <xf numFmtId="0" fontId="0" fillId="0" borderId="0">
      <alignment vertical="center"/>
    </xf>
    <xf numFmtId="0" fontId="1" fillId="2" borderId="0" applyBorder="0" applyProtection="0">
      <alignment vertical="center"/>
    </xf>
    <xf numFmtId="0" fontId="1" fillId="3" borderId="0" applyBorder="0" applyProtection="0">
      <alignment vertical="center"/>
    </xf>
    <xf numFmtId="0" fontId="1" fillId="4" borderId="0" applyBorder="0" applyProtection="0">
      <alignment vertical="center"/>
    </xf>
    <xf numFmtId="0" fontId="1" fillId="5" borderId="0" applyBorder="0" applyProtection="0">
      <alignment vertical="center"/>
    </xf>
    <xf numFmtId="0" fontId="1" fillId="6" borderId="0" applyBorder="0" applyProtection="0">
      <alignment vertical="center"/>
    </xf>
    <xf numFmtId="0" fontId="1" fillId="7" borderId="0" applyBorder="0" applyProtection="0">
      <alignment vertical="center"/>
    </xf>
    <xf numFmtId="0" fontId="1" fillId="8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5" borderId="0" applyBorder="0" applyProtection="0">
      <alignment vertical="center"/>
    </xf>
    <xf numFmtId="0" fontId="1" fillId="8" borderId="0" applyBorder="0" applyProtection="0">
      <alignment vertical="center"/>
    </xf>
    <xf numFmtId="0" fontId="1" fillId="11" borderId="0" applyBorder="0" applyProtection="0">
      <alignment vertical="center"/>
    </xf>
    <xf numFmtId="0" fontId="1" fillId="12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13" borderId="0" applyBorder="0" applyProtection="0">
      <alignment vertical="center"/>
    </xf>
    <xf numFmtId="0" fontId="1" fillId="14" borderId="0" applyBorder="0" applyProtection="0">
      <alignment vertical="center"/>
    </xf>
    <xf numFmtId="0" fontId="1" fillId="15" borderId="0" applyBorder="0" applyProtection="0">
      <alignment vertical="center"/>
    </xf>
    <xf numFmtId="0" fontId="2" fillId="3" borderId="0" applyBorder="0" applyProtection="0">
      <alignment vertical="center"/>
    </xf>
    <xf numFmtId="0" fontId="3" fillId="4" borderId="0" applyBorder="0" applyProtection="0">
      <alignment vertical="center"/>
    </xf>
    <xf numFmtId="0" fontId="4" fillId="16" borderId="0" applyBorder="0" applyProtection="0">
      <alignment vertical="center"/>
    </xf>
    <xf numFmtId="0" fontId="5" fillId="17" borderId="1" applyProtection="0">
      <alignment vertical="center"/>
    </xf>
    <xf numFmtId="0" fontId="6" fillId="0" borderId="2" applyProtection="0">
      <alignment vertical="center"/>
    </xf>
    <xf numFmtId="0" fontId="7" fillId="0" borderId="0"/>
    <xf numFmtId="0" fontId="8" fillId="0" borderId="3" applyProtection="0">
      <alignment vertical="center"/>
    </xf>
    <xf numFmtId="0" fontId="1" fillId="0" borderId="0">
      <alignment vertical="center"/>
    </xf>
    <xf numFmtId="0" fontId="9" fillId="0" borderId="4" applyProtection="0">
      <alignment vertical="center"/>
    </xf>
    <xf numFmtId="0" fontId="9" fillId="0" borderId="0" applyBorder="0" applyProtection="0">
      <alignment vertical="center"/>
    </xf>
    <xf numFmtId="0" fontId="10" fillId="0" borderId="0" applyBorder="0" applyProtection="0">
      <alignment vertical="center"/>
    </xf>
    <xf numFmtId="0" fontId="11" fillId="0" borderId="5" applyProtection="0">
      <alignment vertical="center"/>
    </xf>
    <xf numFmtId="0" fontId="12" fillId="7" borderId="6" applyProtection="0">
      <alignment vertical="center"/>
    </xf>
    <xf numFmtId="0" fontId="13" fillId="18" borderId="7" applyProtection="0">
      <alignment vertical="center"/>
    </xf>
    <xf numFmtId="0" fontId="14" fillId="19" borderId="0" applyBorder="0" applyProtection="0">
      <alignment vertical="center"/>
    </xf>
    <xf numFmtId="0" fontId="14" fillId="20" borderId="0" applyBorder="0" applyProtection="0">
      <alignment vertical="center"/>
    </xf>
    <xf numFmtId="0" fontId="14" fillId="21" borderId="0" applyBorder="0" applyProtection="0">
      <alignment vertical="center"/>
    </xf>
    <xf numFmtId="0" fontId="14" fillId="13" borderId="0" applyBorder="0" applyProtection="0">
      <alignment vertical="center"/>
    </xf>
    <xf numFmtId="0" fontId="14" fillId="14" borderId="0" applyBorder="0" applyProtection="0">
      <alignment vertical="center"/>
    </xf>
    <xf numFmtId="0" fontId="14" fillId="22" borderId="0" applyBorder="0" applyProtection="0">
      <alignment vertical="center"/>
    </xf>
    <xf numFmtId="0" fontId="15" fillId="18" borderId="6" applyProtection="0">
      <alignment vertical="center"/>
    </xf>
    <xf numFmtId="0" fontId="16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18" fillId="23" borderId="8" applyProtection="0">
      <alignment vertical="center"/>
    </xf>
    <xf numFmtId="0" fontId="19" fillId="0" borderId="9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7" fillId="0" borderId="0"/>
    <xf numFmtId="0" fontId="21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</cellStyleXfs>
  <cellXfs count="5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30" fillId="0" borderId="0" xfId="0" applyFo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0" fontId="34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/>
    </xf>
    <xf numFmtId="0" fontId="38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1" fillId="0" borderId="21" xfId="0" applyFont="1" applyBorder="1" applyAlignment="1" applyProtection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/>
    </xf>
    <xf numFmtId="0" fontId="33" fillId="24" borderId="25" xfId="0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31" fillId="0" borderId="0" xfId="0" applyFont="1" applyBorder="1" applyAlignment="1">
      <alignment vertical="center"/>
    </xf>
    <xf numFmtId="0" fontId="31" fillId="0" borderId="12" xfId="0" applyFont="1" applyBorder="1" applyAlignment="1">
      <alignment horizontal="center"/>
    </xf>
    <xf numFmtId="0" fontId="33" fillId="24" borderId="27" xfId="0" applyFont="1" applyFill="1" applyBorder="1" applyAlignment="1">
      <alignment horizontal="center" vertical="center"/>
    </xf>
    <xf numFmtId="0" fontId="41" fillId="24" borderId="25" xfId="0" applyFont="1" applyFill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39" fillId="25" borderId="12" xfId="0" applyFont="1" applyFill="1" applyBorder="1" applyAlignment="1">
      <alignment horizontal="center" vertical="center"/>
    </xf>
    <xf numFmtId="0" fontId="31" fillId="0" borderId="13" xfId="0" applyFont="1" applyBorder="1" applyAlignment="1" applyProtection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41" fillId="24" borderId="30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left"/>
    </xf>
    <xf numFmtId="0" fontId="4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1" fillId="0" borderId="12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43" fillId="0" borderId="0" xfId="47" applyFont="1"/>
    <xf numFmtId="0" fontId="43" fillId="0" borderId="0" xfId="47" applyFont="1" applyAlignment="1">
      <alignment horizontal="center" vertical="center"/>
    </xf>
    <xf numFmtId="0" fontId="43" fillId="0" borderId="0" xfId="47" applyFont="1" applyAlignment="1">
      <alignment horizontal="center"/>
    </xf>
    <xf numFmtId="0" fontId="44" fillId="0" borderId="0" xfId="56" applyFont="1" applyAlignment="1">
      <alignment horizontal="right" vertical="center"/>
    </xf>
    <xf numFmtId="0" fontId="44" fillId="0" borderId="0" xfId="56" applyFont="1" applyAlignment="1">
      <alignment horizontal="center"/>
    </xf>
    <xf numFmtId="0" fontId="44" fillId="0" borderId="0" xfId="56" applyFont="1"/>
    <xf numFmtId="0" fontId="20" fillId="0" borderId="0" xfId="56" applyFont="1" applyAlignment="1">
      <alignment horizontal="center" vertical="center"/>
    </xf>
    <xf numFmtId="0" fontId="20" fillId="0" borderId="0" xfId="56" applyFont="1" applyAlignment="1">
      <alignment horizontal="center"/>
    </xf>
    <xf numFmtId="0" fontId="20" fillId="0" borderId="0" xfId="56" applyFont="1"/>
    <xf numFmtId="0" fontId="0" fillId="0" borderId="0" xfId="47" applyFont="1"/>
    <xf numFmtId="0" fontId="45" fillId="0" borderId="12" xfId="47" applyFont="1" applyBorder="1" applyAlignment="1">
      <alignment horizontal="center" vertical="top" wrapText="1"/>
    </xf>
    <xf numFmtId="0" fontId="46" fillId="0" borderId="12" xfId="47" applyFont="1" applyBorder="1" applyAlignment="1">
      <alignment horizontal="center" vertical="top" wrapText="1"/>
    </xf>
    <xf numFmtId="0" fontId="46" fillId="0" borderId="13" xfId="47" applyFont="1" applyBorder="1" applyAlignment="1">
      <alignment horizontal="center" vertical="top" wrapText="1"/>
    </xf>
    <xf numFmtId="0" fontId="46" fillId="24" borderId="32" xfId="47" applyFont="1" applyFill="1" applyBorder="1" applyAlignment="1">
      <alignment horizontal="center" vertical="top" wrapText="1"/>
    </xf>
    <xf numFmtId="0" fontId="46" fillId="24" borderId="33" xfId="47" applyFont="1" applyFill="1" applyBorder="1" applyAlignment="1">
      <alignment horizontal="center" vertical="top" wrapText="1"/>
    </xf>
    <xf numFmtId="0" fontId="46" fillId="24" borderId="34" xfId="47" applyFont="1" applyFill="1" applyBorder="1" applyAlignment="1">
      <alignment horizontal="center" vertical="top" wrapText="1"/>
    </xf>
    <xf numFmtId="0" fontId="46" fillId="24" borderId="35" xfId="47" applyFont="1" applyFill="1" applyBorder="1" applyAlignment="1">
      <alignment horizontal="center" vertical="top" wrapText="1"/>
    </xf>
    <xf numFmtId="0" fontId="46" fillId="24" borderId="12" xfId="47" applyFont="1" applyFill="1" applyBorder="1" applyAlignment="1">
      <alignment horizontal="center" vertical="top" wrapText="1"/>
    </xf>
    <xf numFmtId="0" fontId="46" fillId="24" borderId="36" xfId="47" applyFont="1" applyFill="1" applyBorder="1" applyAlignment="1">
      <alignment horizontal="center" vertical="top" wrapText="1"/>
    </xf>
    <xf numFmtId="0" fontId="47" fillId="24" borderId="37" xfId="47" applyFont="1" applyFill="1" applyBorder="1" applyAlignment="1">
      <alignment horizontal="center" vertical="top" wrapText="1"/>
    </xf>
    <xf numFmtId="0" fontId="46" fillId="24" borderId="16" xfId="47" applyFont="1" applyFill="1" applyBorder="1" applyAlignment="1">
      <alignment horizontal="center" vertical="top" wrapText="1"/>
    </xf>
    <xf numFmtId="0" fontId="46" fillId="24" borderId="38" xfId="47" applyFont="1" applyFill="1" applyBorder="1" applyAlignment="1">
      <alignment horizontal="center" vertical="top" wrapText="1"/>
    </xf>
    <xf numFmtId="0" fontId="44" fillId="0" borderId="0" xfId="56" applyFont="1" applyAlignment="1">
      <alignment horizontal="left" vertical="center"/>
    </xf>
    <xf numFmtId="0" fontId="48" fillId="0" borderId="0" xfId="47" applyFont="1" applyBorder="1" applyAlignment="1">
      <alignment horizontal="center"/>
    </xf>
    <xf numFmtId="0" fontId="21" fillId="0" borderId="0" xfId="47" applyFont="1" applyAlignment="1">
      <alignment horizontal="center"/>
    </xf>
    <xf numFmtId="0" fontId="21" fillId="0" borderId="12" xfId="47" applyFont="1" applyBorder="1" applyAlignment="1">
      <alignment horizontal="center"/>
    </xf>
    <xf numFmtId="0" fontId="43" fillId="0" borderId="14" xfId="47" applyFont="1" applyBorder="1" applyAlignment="1">
      <alignment horizontal="center"/>
    </xf>
    <xf numFmtId="0" fontId="21" fillId="0" borderId="0" xfId="47" applyFont="1" applyAlignment="1">
      <alignment horizontal="center" vertical="center"/>
    </xf>
    <xf numFmtId="0" fontId="43" fillId="0" borderId="10" xfId="47" applyFont="1" applyBorder="1" applyAlignment="1">
      <alignment horizontal="center" vertical="center"/>
    </xf>
    <xf numFmtId="0" fontId="43" fillId="0" borderId="0" xfId="47" applyFont="1" applyBorder="1" applyAlignment="1">
      <alignment horizontal="center"/>
    </xf>
    <xf numFmtId="0" fontId="49" fillId="0" borderId="19" xfId="47" applyFont="1" applyBorder="1" applyAlignment="1">
      <alignment horizontal="center"/>
    </xf>
    <xf numFmtId="0" fontId="50" fillId="0" borderId="12" xfId="47" applyFont="1" applyBorder="1" applyAlignment="1">
      <alignment horizontal="center"/>
    </xf>
    <xf numFmtId="0" fontId="43" fillId="0" borderId="13" xfId="47" applyFont="1" applyBorder="1" applyAlignment="1">
      <alignment horizontal="center" vertical="center"/>
    </xf>
    <xf numFmtId="0" fontId="21" fillId="0" borderId="19" xfId="47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49" fillId="0" borderId="19" xfId="47" applyFont="1" applyBorder="1" applyAlignment="1">
      <alignment horizontal="center" vertical="center"/>
    </xf>
    <xf numFmtId="0" fontId="43" fillId="0" borderId="23" xfId="47" applyFont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21" fillId="0" borderId="10" xfId="47" applyFont="1" applyBorder="1" applyAlignment="1">
      <alignment horizontal="center" vertical="center"/>
    </xf>
    <xf numFmtId="0" fontId="21" fillId="0" borderId="19" xfId="47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3" fillId="0" borderId="20" xfId="47" applyFont="1" applyBorder="1" applyAlignment="1">
      <alignment horizontal="center"/>
    </xf>
    <xf numFmtId="0" fontId="21" fillId="24" borderId="12" xfId="47" applyFont="1" applyFill="1" applyBorder="1" applyAlignment="1">
      <alignment horizontal="center"/>
    </xf>
    <xf numFmtId="0" fontId="48" fillId="0" borderId="0" xfId="47" applyFont="1"/>
    <xf numFmtId="0" fontId="43" fillId="0" borderId="21" xfId="47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50" fillId="0" borderId="12" xfId="47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>
      <alignment vertical="center"/>
    </xf>
    <xf numFmtId="0" fontId="43" fillId="0" borderId="10" xfId="47" applyFont="1" applyBorder="1" applyAlignment="1">
      <alignment horizontal="center"/>
    </xf>
    <xf numFmtId="0" fontId="43" fillId="0" borderId="11" xfId="47" applyFont="1" applyBorder="1" applyAlignment="1">
      <alignment horizontal="center" vertical="center"/>
    </xf>
    <xf numFmtId="0" fontId="43" fillId="0" borderId="14" xfId="47" applyFont="1" applyBorder="1" applyAlignment="1">
      <alignment horizontal="center" vertical="center"/>
    </xf>
    <xf numFmtId="0" fontId="43" fillId="0" borderId="31" xfId="47" applyFont="1" applyBorder="1" applyAlignment="1">
      <alignment horizontal="center" vertical="center"/>
    </xf>
    <xf numFmtId="0" fontId="48" fillId="0" borderId="0" xfId="47" applyFont="1" applyAlignment="1">
      <alignment horizontal="center" vertical="center"/>
    </xf>
    <xf numFmtId="0" fontId="43" fillId="0" borderId="21" xfId="47" applyFont="1" applyBorder="1" applyAlignment="1">
      <alignment horizontal="center"/>
    </xf>
    <xf numFmtId="0" fontId="21" fillId="0" borderId="12" xfId="47" applyFont="1" applyBorder="1" applyAlignment="1">
      <alignment horizontal="center" vertical="center"/>
    </xf>
    <xf numFmtId="0" fontId="43" fillId="0" borderId="13" xfId="47" applyFont="1" applyBorder="1" applyAlignment="1">
      <alignment horizontal="center"/>
    </xf>
    <xf numFmtId="0" fontId="43" fillId="0" borderId="19" xfId="47" applyFont="1" applyBorder="1" applyAlignment="1">
      <alignment horizontal="center"/>
    </xf>
    <xf numFmtId="0" fontId="43" fillId="0" borderId="0" xfId="47" applyFont="1" applyAlignment="1"/>
    <xf numFmtId="0" fontId="43" fillId="0" borderId="0" xfId="47" applyFont="1" applyAlignment="1">
      <alignment horizontal="left"/>
    </xf>
    <xf numFmtId="0" fontId="44" fillId="0" borderId="0" xfId="48" applyFont="1" applyAlignment="1">
      <alignment horizontal="right"/>
    </xf>
    <xf numFmtId="0" fontId="44" fillId="0" borderId="0" xfId="48" applyFont="1" applyBorder="1" applyAlignment="1">
      <alignment horizontal="center"/>
    </xf>
    <xf numFmtId="0" fontId="44" fillId="0" borderId="0" xfId="48" applyFont="1" applyAlignment="1">
      <alignment horizontal="left"/>
    </xf>
    <xf numFmtId="0" fontId="20" fillId="0" borderId="0" xfId="48" applyFont="1" applyAlignment="1">
      <alignment horizontal="right"/>
    </xf>
    <xf numFmtId="0" fontId="20" fillId="0" borderId="0" xfId="48" applyFont="1" applyAlignment="1">
      <alignment horizontal="left"/>
    </xf>
    <xf numFmtId="0" fontId="45" fillId="0" borderId="0" xfId="48" applyFont="1" applyAlignment="1">
      <alignment horizontal="left"/>
    </xf>
    <xf numFmtId="0" fontId="21" fillId="0" borderId="0" xfId="48" applyFont="1" applyAlignment="1">
      <alignment horizontal="left"/>
    </xf>
    <xf numFmtId="0" fontId="45" fillId="0" borderId="12" xfId="47" applyFont="1" applyBorder="1" applyAlignment="1">
      <alignment horizontal="center" wrapText="1"/>
    </xf>
    <xf numFmtId="0" fontId="46" fillId="0" borderId="12" xfId="47" applyFont="1" applyBorder="1" applyAlignment="1">
      <alignment horizontal="center" wrapText="1"/>
    </xf>
    <xf numFmtId="0" fontId="46" fillId="0" borderId="13" xfId="47" applyFont="1" applyBorder="1" applyAlignment="1">
      <alignment horizontal="center" wrapText="1"/>
    </xf>
    <xf numFmtId="0" fontId="46" fillId="24" borderId="32" xfId="47" applyFont="1" applyFill="1" applyBorder="1" applyAlignment="1">
      <alignment horizontal="center" wrapText="1"/>
    </xf>
    <xf numFmtId="0" fontId="46" fillId="24" borderId="33" xfId="47" applyFont="1" applyFill="1" applyBorder="1" applyAlignment="1">
      <alignment horizontal="center" wrapText="1"/>
    </xf>
    <xf numFmtId="0" fontId="46" fillId="24" borderId="34" xfId="47" applyFont="1" applyFill="1" applyBorder="1" applyAlignment="1">
      <alignment horizontal="center" wrapText="1"/>
    </xf>
    <xf numFmtId="0" fontId="46" fillId="24" borderId="35" xfId="47" applyFont="1" applyFill="1" applyBorder="1" applyAlignment="1">
      <alignment horizontal="center" wrapText="1"/>
    </xf>
    <xf numFmtId="0" fontId="46" fillId="24" borderId="12" xfId="47" applyFont="1" applyFill="1" applyBorder="1" applyAlignment="1">
      <alignment horizontal="center" wrapText="1"/>
    </xf>
    <xf numFmtId="0" fontId="46" fillId="24" borderId="36" xfId="47" applyFont="1" applyFill="1" applyBorder="1" applyAlignment="1">
      <alignment horizontal="center" wrapText="1"/>
    </xf>
    <xf numFmtId="0" fontId="46" fillId="24" borderId="16" xfId="47" applyFont="1" applyFill="1" applyBorder="1" applyAlignment="1">
      <alignment horizontal="center" wrapText="1"/>
    </xf>
    <xf numFmtId="0" fontId="46" fillId="24" borderId="38" xfId="47" applyFont="1" applyFill="1" applyBorder="1" applyAlignment="1">
      <alignment horizontal="center" wrapText="1"/>
    </xf>
    <xf numFmtId="0" fontId="0" fillId="0" borderId="0" xfId="47" applyFont="1" applyAlignment="1"/>
    <xf numFmtId="0" fontId="0" fillId="0" borderId="0" xfId="47" applyFont="1" applyBorder="1" applyAlignment="1">
      <alignment horizontal="center"/>
    </xf>
    <xf numFmtId="0" fontId="0" fillId="0" borderId="0" xfId="47" applyFont="1" applyAlignment="1">
      <alignment horizontal="left"/>
    </xf>
    <xf numFmtId="0" fontId="49" fillId="0" borderId="19" xfId="0" applyFont="1" applyBorder="1" applyAlignment="1">
      <alignment horizontal="center"/>
    </xf>
    <xf numFmtId="49" fontId="43" fillId="0" borderId="19" xfId="47" applyNumberFormat="1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 applyAlignment="1"/>
    <xf numFmtId="0" fontId="51" fillId="0" borderId="0" xfId="0" applyFont="1" applyBorder="1" applyAlignment="1">
      <alignment horizontal="center"/>
    </xf>
    <xf numFmtId="0" fontId="43" fillId="0" borderId="29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3" fillId="0" borderId="31" xfId="47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51" fillId="0" borderId="0" xfId="0" applyFont="1" applyBorder="1" applyAlignment="1">
      <alignment horizontal="left"/>
    </xf>
    <xf numFmtId="0" fontId="48" fillId="0" borderId="0" xfId="47" applyFont="1" applyAlignment="1"/>
    <xf numFmtId="0" fontId="48" fillId="0" borderId="12" xfId="0" applyFont="1" applyBorder="1" applyAlignment="1">
      <alignment horizontal="center"/>
    </xf>
    <xf numFmtId="49" fontId="48" fillId="0" borderId="23" xfId="47" applyNumberFormat="1" applyFont="1" applyBorder="1" applyAlignment="1">
      <alignment horizontal="left"/>
    </xf>
    <xf numFmtId="0" fontId="43" fillId="0" borderId="10" xfId="0" applyFont="1" applyBorder="1" applyAlignment="1">
      <alignment horizontal="center"/>
    </xf>
    <xf numFmtId="0" fontId="43" fillId="0" borderId="0" xfId="0" applyFont="1" applyBorder="1" applyAlignment="1">
      <alignment horizontal="left"/>
    </xf>
    <xf numFmtId="0" fontId="43" fillId="0" borderId="12" xfId="0" applyFont="1" applyBorder="1" applyAlignment="1">
      <alignment horizontal="left"/>
    </xf>
    <xf numFmtId="0" fontId="51" fillId="0" borderId="20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49" fontId="53" fillId="0" borderId="0" xfId="47" applyNumberFormat="1" applyFont="1" applyBorder="1" applyAlignment="1">
      <alignment horizontal="left"/>
    </xf>
    <xf numFmtId="49" fontId="53" fillId="0" borderId="0" xfId="47" applyNumberFormat="1" applyFont="1" applyBorder="1" applyAlignment="1">
      <alignment horizontal="center"/>
    </xf>
    <xf numFmtId="0" fontId="43" fillId="0" borderId="20" xfId="0" applyFont="1" applyBorder="1" applyAlignment="1">
      <alignment horizontal="center"/>
    </xf>
    <xf numFmtId="49" fontId="53" fillId="0" borderId="19" xfId="47" applyNumberFormat="1" applyFont="1" applyBorder="1" applyAlignment="1">
      <alignment horizontal="center"/>
    </xf>
    <xf numFmtId="0" fontId="51" fillId="0" borderId="29" xfId="0" applyFont="1" applyBorder="1" applyAlignment="1">
      <alignment horizontal="left"/>
    </xf>
    <xf numFmtId="0" fontId="43" fillId="0" borderId="20" xfId="47" applyFont="1" applyBorder="1" applyAlignment="1">
      <alignment horizontal="left"/>
    </xf>
    <xf numFmtId="0" fontId="43" fillId="0" borderId="21" xfId="0" applyFont="1" applyBorder="1" applyAlignment="1">
      <alignment horizontal="center"/>
    </xf>
    <xf numFmtId="0" fontId="55" fillId="0" borderId="0" xfId="47" applyFont="1" applyAlignment="1">
      <alignment horizontal="center"/>
    </xf>
    <xf numFmtId="0" fontId="48" fillId="0" borderId="0" xfId="0" applyFont="1" applyBorder="1" applyAlignment="1">
      <alignment horizontal="right"/>
    </xf>
    <xf numFmtId="0" fontId="21" fillId="0" borderId="0" xfId="47" applyFont="1" applyAlignment="1">
      <alignment horizontal="left"/>
    </xf>
    <xf numFmtId="0" fontId="48" fillId="0" borderId="0" xfId="47" applyFont="1" applyBorder="1" applyAlignment="1">
      <alignment horizontal="right"/>
    </xf>
    <xf numFmtId="0" fontId="43" fillId="0" borderId="0" xfId="47" applyFont="1" applyBorder="1" applyAlignment="1">
      <alignment horizontal="left"/>
    </xf>
    <xf numFmtId="0" fontId="0" fillId="0" borderId="0" xfId="44" applyFont="1"/>
    <xf numFmtId="0" fontId="0" fillId="0" borderId="0" xfId="44" applyFont="1" applyAlignment="1">
      <alignment horizontal="center" vertical="center"/>
    </xf>
    <xf numFmtId="0" fontId="0" fillId="0" borderId="0" xfId="44" applyFont="1" applyAlignment="1">
      <alignment horizontal="left"/>
    </xf>
    <xf numFmtId="0" fontId="56" fillId="0" borderId="0" xfId="53" applyFont="1" applyAlignment="1">
      <alignment horizontal="left"/>
    </xf>
    <xf numFmtId="0" fontId="20" fillId="0" borderId="0" xfId="53" applyFont="1" applyAlignment="1">
      <alignment horizontal="center"/>
    </xf>
    <xf numFmtId="0" fontId="20" fillId="0" borderId="0" xfId="53" applyFont="1" applyAlignment="1">
      <alignment horizontal="left"/>
    </xf>
    <xf numFmtId="0" fontId="20" fillId="0" borderId="0" xfId="53" applyFont="1"/>
    <xf numFmtId="0" fontId="0" fillId="0" borderId="0" xfId="44" applyFont="1" applyAlignment="1">
      <alignment horizontal="center"/>
    </xf>
    <xf numFmtId="0" fontId="57" fillId="0" borderId="0" xfId="44" applyFont="1"/>
    <xf numFmtId="0" fontId="58" fillId="0" borderId="0" xfId="53" applyFont="1" applyAlignment="1">
      <alignment horizontal="left"/>
    </xf>
    <xf numFmtId="0" fontId="57" fillId="0" borderId="0" xfId="44" applyFont="1" applyBorder="1"/>
    <xf numFmtId="0" fontId="0" fillId="0" borderId="0" xfId="44" applyFont="1" applyBorder="1"/>
    <xf numFmtId="0" fontId="59" fillId="0" borderId="0" xfId="53" applyFont="1" applyAlignment="1">
      <alignment horizontal="center"/>
    </xf>
    <xf numFmtId="0" fontId="20" fillId="0" borderId="0" xfId="53" applyFont="1" applyBorder="1" applyAlignment="1">
      <alignment horizontal="center"/>
    </xf>
    <xf numFmtId="0" fontId="60" fillId="0" borderId="0" xfId="53" applyFont="1" applyAlignment="1">
      <alignment horizontal="center"/>
    </xf>
    <xf numFmtId="0" fontId="61" fillId="0" borderId="0" xfId="44" applyFont="1" applyAlignment="1">
      <alignment horizontal="center"/>
    </xf>
    <xf numFmtId="0" fontId="31" fillId="0" borderId="0" xfId="44" applyFont="1" applyBorder="1" applyAlignment="1">
      <alignment horizontal="center"/>
    </xf>
    <xf numFmtId="0" fontId="45" fillId="0" borderId="12" xfId="53" applyFont="1" applyBorder="1" applyAlignment="1">
      <alignment horizontal="center"/>
    </xf>
    <xf numFmtId="0" fontId="45" fillId="0" borderId="12" xfId="44" applyFont="1" applyBorder="1" applyAlignment="1">
      <alignment horizontal="center"/>
    </xf>
    <xf numFmtId="0" fontId="0" fillId="0" borderId="12" xfId="44" applyFont="1" applyBorder="1"/>
    <xf numFmtId="0" fontId="0" fillId="0" borderId="12" xfId="44" applyFont="1" applyBorder="1" applyAlignment="1">
      <alignment horizontal="center" vertical="center"/>
    </xf>
    <xf numFmtId="0" fontId="0" fillId="0" borderId="0" xfId="44" applyFont="1" applyBorder="1" applyAlignment="1">
      <alignment horizontal="left"/>
    </xf>
    <xf numFmtId="0" fontId="20" fillId="0" borderId="12" xfId="55" applyFont="1" applyBorder="1" applyAlignment="1">
      <alignment horizontal="center"/>
    </xf>
    <xf numFmtId="0" fontId="45" fillId="0" borderId="11" xfId="46" applyFont="1" applyBorder="1" applyAlignment="1">
      <alignment horizontal="center"/>
    </xf>
    <xf numFmtId="0" fontId="45" fillId="4" borderId="13" xfId="46" applyFont="1" applyFill="1" applyBorder="1" applyAlignment="1">
      <alignment horizontal="right"/>
    </xf>
    <xf numFmtId="0" fontId="45" fillId="6" borderId="13" xfId="46" applyFont="1" applyFill="1" applyBorder="1" applyAlignment="1">
      <alignment horizontal="left"/>
    </xf>
    <xf numFmtId="0" fontId="45" fillId="0" borderId="31" xfId="46" applyFont="1" applyBorder="1" applyAlignment="1">
      <alignment horizontal="center"/>
    </xf>
    <xf numFmtId="0" fontId="0" fillId="0" borderId="12" xfId="44" applyFont="1" applyBorder="1" applyAlignment="1">
      <alignment horizontal="center"/>
    </xf>
    <xf numFmtId="0" fontId="45" fillId="0" borderId="12" xfId="0" applyFont="1" applyBorder="1" applyAlignment="1">
      <alignment horizontal="center" vertical="center"/>
    </xf>
    <xf numFmtId="0" fontId="45" fillId="0" borderId="0" xfId="44" applyFont="1" applyBorder="1" applyAlignment="1">
      <alignment horizontal="left"/>
    </xf>
    <xf numFmtId="0" fontId="45" fillId="0" borderId="0" xfId="44" applyFont="1" applyAlignment="1">
      <alignment horizontal="right"/>
    </xf>
    <xf numFmtId="0" fontId="45" fillId="0" borderId="0" xfId="44" applyFont="1" applyAlignment="1">
      <alignment horizontal="left"/>
    </xf>
    <xf numFmtId="0" fontId="45" fillId="0" borderId="0" xfId="44" applyFont="1"/>
    <xf numFmtId="0" fontId="45" fillId="0" borderId="24" xfId="46" applyFont="1" applyBorder="1" applyAlignment="1">
      <alignment horizontal="center"/>
    </xf>
    <xf numFmtId="0" fontId="45" fillId="4" borderId="28" xfId="46" applyFont="1" applyFill="1" applyBorder="1" applyAlignment="1">
      <alignment horizontal="right"/>
    </xf>
    <xf numFmtId="0" fontId="45" fillId="6" borderId="28" xfId="46" applyFont="1" applyFill="1" applyBorder="1" applyAlignment="1">
      <alignment horizontal="left"/>
    </xf>
    <xf numFmtId="0" fontId="45" fillId="0" borderId="0" xfId="46" applyFont="1" applyBorder="1" applyAlignment="1">
      <alignment horizontal="center"/>
    </xf>
    <xf numFmtId="0" fontId="45" fillId="0" borderId="12" xfId="44" applyFont="1" applyBorder="1" applyAlignment="1">
      <alignment horizontal="left"/>
    </xf>
    <xf numFmtId="0" fontId="0" fillId="0" borderId="12" xfId="44" applyFont="1" applyBorder="1" applyAlignment="1">
      <alignment horizontal="left"/>
    </xf>
    <xf numFmtId="0" fontId="45" fillId="4" borderId="21" xfId="46" applyFont="1" applyFill="1" applyBorder="1" applyAlignment="1">
      <alignment horizontal="right"/>
    </xf>
    <xf numFmtId="0" fontId="45" fillId="6" borderId="21" xfId="46" applyFont="1" applyFill="1" applyBorder="1" applyAlignment="1">
      <alignment horizontal="left"/>
    </xf>
    <xf numFmtId="0" fontId="45" fillId="0" borderId="10" xfId="46" applyFont="1" applyBorder="1" applyAlignment="1">
      <alignment horizontal="center"/>
    </xf>
    <xf numFmtId="0" fontId="45" fillId="0" borderId="13" xfId="46" applyFont="1" applyBorder="1" applyAlignment="1">
      <alignment horizontal="center"/>
    </xf>
    <xf numFmtId="0" fontId="45" fillId="4" borderId="11" xfId="46" applyFont="1" applyFill="1" applyBorder="1" applyAlignment="1">
      <alignment horizontal="right"/>
    </xf>
    <xf numFmtId="0" fontId="45" fillId="0" borderId="12" xfId="46" applyFont="1" applyBorder="1" applyAlignment="1">
      <alignment horizontal="center"/>
    </xf>
    <xf numFmtId="164" fontId="45" fillId="0" borderId="0" xfId="44" applyNumberFormat="1" applyFont="1" applyBorder="1" applyAlignment="1">
      <alignment horizontal="left"/>
    </xf>
    <xf numFmtId="0" fontId="62" fillId="0" borderId="12" xfId="44" applyFont="1" applyBorder="1" applyAlignment="1">
      <alignment horizontal="left"/>
    </xf>
    <xf numFmtId="0" fontId="45" fillId="4" borderId="0" xfId="46" applyFont="1" applyFill="1" applyBorder="1" applyAlignment="1">
      <alignment horizontal="right"/>
    </xf>
    <xf numFmtId="0" fontId="45" fillId="6" borderId="29" xfId="46" applyFont="1" applyFill="1" applyBorder="1" applyAlignment="1">
      <alignment horizontal="left"/>
    </xf>
    <xf numFmtId="0" fontId="45" fillId="0" borderId="29" xfId="46" applyFont="1" applyBorder="1" applyAlignment="1">
      <alignment horizontal="center"/>
    </xf>
    <xf numFmtId="0" fontId="26" fillId="0" borderId="12" xfId="44" applyFont="1" applyBorder="1" applyAlignment="1">
      <alignment horizontal="center"/>
    </xf>
    <xf numFmtId="0" fontId="45" fillId="4" borderId="19" xfId="46" applyFont="1" applyFill="1" applyBorder="1" applyAlignment="1">
      <alignment horizontal="right"/>
    </xf>
    <xf numFmtId="0" fontId="45" fillId="0" borderId="20" xfId="46" applyFont="1" applyBorder="1" applyAlignment="1">
      <alignment horizontal="center"/>
    </xf>
    <xf numFmtId="0" fontId="45" fillId="4" borderId="29" xfId="46" applyFont="1" applyFill="1" applyBorder="1" applyAlignment="1">
      <alignment horizontal="right"/>
    </xf>
    <xf numFmtId="0" fontId="45" fillId="4" borderId="20" xfId="46" applyFont="1" applyFill="1" applyBorder="1" applyAlignment="1">
      <alignment horizontal="right"/>
    </xf>
    <xf numFmtId="0" fontId="0" fillId="0" borderId="39" xfId="44" applyFont="1" applyBorder="1"/>
    <xf numFmtId="0" fontId="45" fillId="0" borderId="28" xfId="44" applyFont="1" applyBorder="1" applyAlignment="1">
      <alignment horizontal="center"/>
    </xf>
    <xf numFmtId="0" fontId="35" fillId="0" borderId="1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/>
    </xf>
    <xf numFmtId="0" fontId="31" fillId="0" borderId="26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/>
    </xf>
    <xf numFmtId="0" fontId="39" fillId="0" borderId="42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0" fontId="41" fillId="24" borderId="27" xfId="0" applyFont="1" applyFill="1" applyBorder="1" applyAlignment="1">
      <alignment horizontal="center" vertical="center"/>
    </xf>
    <xf numFmtId="0" fontId="39" fillId="26" borderId="12" xfId="0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41" fillId="24" borderId="43" xfId="0" applyFont="1" applyFill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44" fillId="0" borderId="0" xfId="56" applyFont="1" applyAlignment="1">
      <alignment horizontal="right"/>
    </xf>
    <xf numFmtId="0" fontId="44" fillId="0" borderId="0" xfId="56" applyFont="1" applyAlignment="1"/>
    <xf numFmtId="0" fontId="20" fillId="0" borderId="0" xfId="56" applyFont="1" applyAlignment="1"/>
    <xf numFmtId="0" fontId="46" fillId="24" borderId="37" xfId="47" applyFont="1" applyFill="1" applyBorder="1" applyAlignment="1">
      <alignment horizontal="center" wrapText="1"/>
    </xf>
    <xf numFmtId="0" fontId="44" fillId="0" borderId="0" xfId="56" applyFont="1" applyAlignment="1">
      <alignment horizontal="left"/>
    </xf>
    <xf numFmtId="0" fontId="53" fillId="0" borderId="14" xfId="47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21" fillId="0" borderId="10" xfId="47" applyFont="1" applyBorder="1" applyAlignment="1">
      <alignment horizontal="center"/>
    </xf>
    <xf numFmtId="0" fontId="43" fillId="0" borderId="11" xfId="47" applyFont="1" applyBorder="1" applyAlignment="1">
      <alignment horizontal="center"/>
    </xf>
    <xf numFmtId="0" fontId="5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3" fillId="0" borderId="0" xfId="47" applyFont="1" applyAlignment="1">
      <alignment horizontal="center"/>
    </xf>
    <xf numFmtId="0" fontId="53" fillId="0" borderId="10" xfId="47" applyFont="1" applyBorder="1" applyAlignment="1">
      <alignment horizontal="center"/>
    </xf>
    <xf numFmtId="0" fontId="43" fillId="0" borderId="19" xfId="47" applyFont="1" applyBorder="1" applyAlignment="1">
      <alignment horizontal="left"/>
    </xf>
    <xf numFmtId="0" fontId="50" fillId="24" borderId="12" xfId="47" applyFont="1" applyFill="1" applyBorder="1" applyAlignment="1">
      <alignment horizontal="center"/>
    </xf>
    <xf numFmtId="0" fontId="44" fillId="0" borderId="0" xfId="48" applyFont="1"/>
    <xf numFmtId="0" fontId="30" fillId="0" borderId="0" xfId="56" applyFont="1" applyAlignment="1">
      <alignment horizontal="left" vertical="center"/>
    </xf>
    <xf numFmtId="0" fontId="64" fillId="0" borderId="0" xfId="56" applyFont="1" applyAlignment="1">
      <alignment horizontal="left" vertical="center"/>
    </xf>
    <xf numFmtId="0" fontId="21" fillId="0" borderId="0" xfId="56" applyFont="1" applyAlignment="1">
      <alignment horizontal="left" vertical="center"/>
    </xf>
    <xf numFmtId="0" fontId="20" fillId="0" borderId="0" xfId="48" applyFont="1" applyBorder="1" applyAlignment="1">
      <alignment horizontal="center"/>
    </xf>
    <xf numFmtId="0" fontId="20" fillId="0" borderId="0" xfId="48" applyFont="1"/>
    <xf numFmtId="0" fontId="44" fillId="0" borderId="0" xfId="48" applyFont="1" applyBorder="1"/>
    <xf numFmtId="0" fontId="43" fillId="0" borderId="0" xfId="47" applyFont="1" applyBorder="1"/>
    <xf numFmtId="0" fontId="46" fillId="24" borderId="37" xfId="47" applyFont="1" applyFill="1" applyBorder="1" applyAlignment="1">
      <alignment horizontal="center" vertical="top" wrapText="1"/>
    </xf>
    <xf numFmtId="0" fontId="66" fillId="0" borderId="0" xfId="48" applyFont="1" applyBorder="1" applyAlignment="1">
      <alignment horizontal="center" vertical="top" wrapText="1"/>
    </xf>
    <xf numFmtId="0" fontId="65" fillId="0" borderId="0" xfId="56" applyFont="1" applyAlignment="1">
      <alignment horizontal="left" vertical="center"/>
    </xf>
    <xf numFmtId="0" fontId="0" fillId="0" borderId="0" xfId="47" applyFont="1" applyAlignment="1">
      <alignment horizontal="center" vertical="center"/>
    </xf>
    <xf numFmtId="0" fontId="48" fillId="0" borderId="12" xfId="47" applyFont="1" applyBorder="1" applyAlignment="1">
      <alignment horizontal="center" vertical="center"/>
    </xf>
    <xf numFmtId="0" fontId="50" fillId="0" borderId="14" xfId="47" applyFont="1" applyBorder="1"/>
    <xf numFmtId="0" fontId="43" fillId="0" borderId="0" xfId="47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12" xfId="47" applyFont="1" applyBorder="1" applyAlignment="1">
      <alignment horizontal="center" vertical="center"/>
    </xf>
    <xf numFmtId="0" fontId="48" fillId="0" borderId="23" xfId="47" applyFont="1" applyBorder="1"/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>
      <alignment vertical="center"/>
    </xf>
    <xf numFmtId="0" fontId="43" fillId="0" borderId="20" xfId="47" applyFont="1" applyBorder="1"/>
    <xf numFmtId="0" fontId="43" fillId="0" borderId="29" xfId="0" applyFont="1" applyBorder="1" applyAlignment="1">
      <alignment horizontal="left" vertical="center"/>
    </xf>
    <xf numFmtId="0" fontId="43" fillId="0" borderId="26" xfId="0" applyFont="1" applyBorder="1" applyAlignment="1">
      <alignment horizontal="center"/>
    </xf>
    <xf numFmtId="0" fontId="50" fillId="0" borderId="23" xfId="47" applyFont="1" applyBorder="1"/>
    <xf numFmtId="0" fontId="43" fillId="0" borderId="11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3" fillId="0" borderId="10" xfId="47" applyFont="1" applyBorder="1"/>
    <xf numFmtId="0" fontId="48" fillId="0" borderId="14" xfId="47" applyFont="1" applyBorder="1"/>
    <xf numFmtId="0" fontId="48" fillId="0" borderId="12" xfId="0" applyFont="1" applyBorder="1" applyAlignment="1">
      <alignment horizontal="left"/>
    </xf>
    <xf numFmtId="0" fontId="43" fillId="0" borderId="29" xfId="47" applyFont="1" applyBorder="1"/>
    <xf numFmtId="0" fontId="48" fillId="0" borderId="0" xfId="47" applyFont="1" applyBorder="1" applyAlignment="1">
      <alignment horizontal="center" vertical="center"/>
    </xf>
    <xf numFmtId="49" fontId="43" fillId="0" borderId="19" xfId="47" applyNumberFormat="1" applyFont="1" applyBorder="1" applyAlignment="1">
      <alignment horizontal="center" vertical="center"/>
    </xf>
    <xf numFmtId="0" fontId="0" fillId="0" borderId="21" xfId="44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48" fillId="0" borderId="0" xfId="0" applyFont="1" applyBorder="1" applyAlignment="1">
      <alignment horizontal="center" vertical="center"/>
    </xf>
    <xf numFmtId="0" fontId="48" fillId="0" borderId="0" xfId="47" applyFont="1" applyBorder="1"/>
    <xf numFmtId="0" fontId="0" fillId="0" borderId="0" xfId="44" applyFont="1" applyBorder="1" applyAlignment="1">
      <alignment horizontal="center" vertical="center"/>
    </xf>
    <xf numFmtId="0" fontId="54" fillId="0" borderId="0" xfId="0" applyFont="1" applyBorder="1">
      <alignment vertical="center"/>
    </xf>
    <xf numFmtId="0" fontId="51" fillId="0" borderId="0" xfId="0" applyFont="1" applyBorder="1" applyAlignment="1">
      <alignment horizontal="center" vertical="center"/>
    </xf>
    <xf numFmtId="49" fontId="53" fillId="0" borderId="0" xfId="47" applyNumberFormat="1" applyFont="1" applyBorder="1" applyAlignment="1">
      <alignment horizontal="center" vertical="center"/>
    </xf>
    <xf numFmtId="0" fontId="45" fillId="0" borderId="12" xfId="44" applyFont="1" applyBorder="1" applyAlignment="1">
      <alignment horizontal="right"/>
    </xf>
    <xf numFmtId="0" fontId="26" fillId="0" borderId="12" xfId="44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45" applyFont="1" applyAlignment="1">
      <alignment vertical="center"/>
    </xf>
    <xf numFmtId="0" fontId="0" fillId="0" borderId="0" xfId="45" applyFont="1" applyAlignment="1">
      <alignment horizontal="center" vertical="center"/>
    </xf>
    <xf numFmtId="0" fontId="0" fillId="0" borderId="0" xfId="45" applyFont="1" applyBorder="1" applyAlignment="1">
      <alignment horizontal="left" vertical="center"/>
    </xf>
    <xf numFmtId="0" fontId="0" fillId="0" borderId="0" xfId="45" applyFont="1" applyBorder="1" applyAlignment="1">
      <alignment vertical="center"/>
    </xf>
    <xf numFmtId="0" fontId="0" fillId="0" borderId="0" xfId="45" applyFont="1" applyAlignment="1">
      <alignment horizontal="left" vertical="center"/>
    </xf>
    <xf numFmtId="0" fontId="67" fillId="0" borderId="0" xfId="45" applyFont="1" applyAlignment="1">
      <alignment horizontal="left" vertical="center"/>
    </xf>
    <xf numFmtId="0" fontId="52" fillId="0" borderId="0" xfId="45" applyFont="1" applyAlignment="1">
      <alignment horizontal="center" vertical="center"/>
    </xf>
    <xf numFmtId="0" fontId="67" fillId="0" borderId="0" xfId="45" applyFont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70" fillId="0" borderId="0" xfId="45" applyFont="1" applyBorder="1" applyAlignment="1">
      <alignment horizontal="center" vertical="center"/>
    </xf>
    <xf numFmtId="0" fontId="71" fillId="0" borderId="0" xfId="54" applyFont="1" applyBorder="1" applyAlignment="1">
      <alignment horizontal="center" vertical="center"/>
    </xf>
    <xf numFmtId="0" fontId="69" fillId="0" borderId="0" xfId="54" applyFont="1" applyBorder="1" applyAlignment="1">
      <alignment horizontal="center" vertical="center"/>
    </xf>
    <xf numFmtId="0" fontId="0" fillId="0" borderId="0" xfId="45" applyFont="1" applyBorder="1" applyAlignment="1">
      <alignment horizontal="center" vertical="center"/>
    </xf>
    <xf numFmtId="0" fontId="72" fillId="0" borderId="10" xfId="45" applyFont="1" applyBorder="1" applyAlignment="1">
      <alignment horizontal="center" vertical="center"/>
    </xf>
    <xf numFmtId="0" fontId="72" fillId="0" borderId="0" xfId="45" applyFont="1" applyBorder="1" applyAlignment="1">
      <alignment horizontal="center" vertical="center"/>
    </xf>
    <xf numFmtId="0" fontId="74" fillId="0" borderId="44" xfId="45" applyFont="1" applyBorder="1" applyAlignment="1">
      <alignment horizontal="center" vertical="center"/>
    </xf>
    <xf numFmtId="0" fontId="75" fillId="0" borderId="45" xfId="54" applyFont="1" applyBorder="1" applyAlignment="1">
      <alignment horizontal="center" vertical="center"/>
    </xf>
    <xf numFmtId="0" fontId="45" fillId="0" borderId="46" xfId="54" applyFont="1" applyBorder="1" applyAlignment="1">
      <alignment horizontal="center" vertical="center"/>
    </xf>
    <xf numFmtId="0" fontId="0" fillId="0" borderId="47" xfId="45" applyFont="1" applyBorder="1" applyAlignment="1">
      <alignment horizontal="center" vertical="center"/>
    </xf>
    <xf numFmtId="0" fontId="75" fillId="0" borderId="12" xfId="45" applyFont="1" applyBorder="1" applyAlignment="1">
      <alignment horizontal="center" vertical="center"/>
    </xf>
    <xf numFmtId="0" fontId="77" fillId="0" borderId="48" xfId="45" applyFont="1" applyBorder="1" applyAlignment="1">
      <alignment horizontal="center" vertical="center"/>
    </xf>
    <xf numFmtId="0" fontId="75" fillId="0" borderId="0" xfId="54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0" fillId="0" borderId="49" xfId="45" applyFont="1" applyBorder="1" applyAlignment="1">
      <alignment horizontal="center" vertical="center"/>
    </xf>
    <xf numFmtId="0" fontId="76" fillId="0" borderId="12" xfId="54" applyFont="1" applyBorder="1" applyAlignment="1">
      <alignment horizontal="center" vertical="center"/>
    </xf>
    <xf numFmtId="164" fontId="0" fillId="0" borderId="0" xfId="45" applyNumberFormat="1" applyFont="1" applyBorder="1" applyAlignment="1">
      <alignment horizontal="center" vertical="center"/>
    </xf>
    <xf numFmtId="0" fontId="76" fillId="0" borderId="0" xfId="54" applyFont="1" applyBorder="1" applyAlignment="1">
      <alignment horizontal="center" vertical="center"/>
    </xf>
    <xf numFmtId="164" fontId="75" fillId="0" borderId="12" xfId="45" applyNumberFormat="1" applyFont="1" applyBorder="1" applyAlignment="1">
      <alignment horizontal="center" vertical="center"/>
    </xf>
    <xf numFmtId="0" fontId="75" fillId="27" borderId="12" xfId="45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0" xfId="45" applyFont="1" applyBorder="1" applyAlignment="1">
      <alignment horizontal="center" vertical="center"/>
    </xf>
    <xf numFmtId="0" fontId="75" fillId="0" borderId="51" xfId="54" applyFont="1" applyBorder="1" applyAlignment="1">
      <alignment horizontal="center" vertical="center"/>
    </xf>
    <xf numFmtId="0" fontId="75" fillId="0" borderId="52" xfId="54" applyFont="1" applyBorder="1" applyAlignment="1">
      <alignment horizontal="center" vertical="center"/>
    </xf>
    <xf numFmtId="0" fontId="76" fillId="0" borderId="52" xfId="54" applyFont="1" applyBorder="1" applyAlignment="1">
      <alignment horizontal="center" vertical="center"/>
    </xf>
    <xf numFmtId="0" fontId="0" fillId="0" borderId="53" xfId="45" applyFont="1" applyBorder="1" applyAlignment="1">
      <alignment horizontal="center" vertical="center"/>
    </xf>
    <xf numFmtId="0" fontId="75" fillId="0" borderId="13" xfId="45" applyFont="1" applyBorder="1" applyAlignment="1">
      <alignment horizontal="center" vertical="center"/>
    </xf>
    <xf numFmtId="0" fontId="76" fillId="0" borderId="28" xfId="54" applyFont="1" applyBorder="1" applyAlignment="1">
      <alignment horizontal="center" vertical="center"/>
    </xf>
    <xf numFmtId="0" fontId="0" fillId="0" borderId="28" xfId="45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75" fillId="0" borderId="13" xfId="45" applyNumberFormat="1" applyFont="1" applyBorder="1" applyAlignment="1">
      <alignment horizontal="center" vertical="center"/>
    </xf>
    <xf numFmtId="0" fontId="0" fillId="0" borderId="12" xfId="45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75" fillId="27" borderId="13" xfId="45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64" fontId="75" fillId="0" borderId="11" xfId="45" applyNumberFormat="1" applyFont="1" applyBorder="1" applyAlignment="1">
      <alignment horizontal="center" vertical="center"/>
    </xf>
    <xf numFmtId="164" fontId="75" fillId="0" borderId="24" xfId="45" applyNumberFormat="1" applyFont="1" applyBorder="1" applyAlignment="1">
      <alignment horizontal="center" vertical="center"/>
    </xf>
    <xf numFmtId="0" fontId="76" fillId="0" borderId="21" xfId="54" applyFont="1" applyBorder="1" applyAlignment="1">
      <alignment horizontal="center" vertical="center"/>
    </xf>
    <xf numFmtId="0" fontId="75" fillId="0" borderId="24" xfId="45" applyFont="1" applyBorder="1" applyAlignment="1">
      <alignment horizontal="center" vertical="center"/>
    </xf>
    <xf numFmtId="0" fontId="0" fillId="0" borderId="26" xfId="45" applyFont="1" applyBorder="1" applyAlignment="1">
      <alignment horizontal="center" vertical="center"/>
    </xf>
    <xf numFmtId="0" fontId="0" fillId="0" borderId="26" xfId="45" applyFont="1" applyBorder="1" applyAlignment="1">
      <alignment vertical="center"/>
    </xf>
    <xf numFmtId="0" fontId="76" fillId="0" borderId="20" xfId="54" applyFont="1" applyBorder="1" applyAlignment="1">
      <alignment horizontal="center" vertical="center"/>
    </xf>
    <xf numFmtId="0" fontId="0" fillId="0" borderId="21" xfId="45" applyFont="1" applyBorder="1" applyAlignment="1">
      <alignment horizontal="center" vertical="center"/>
    </xf>
    <xf numFmtId="0" fontId="75" fillId="0" borderId="11" xfId="45" applyFont="1" applyBorder="1" applyAlignment="1">
      <alignment horizontal="center" vertical="center"/>
    </xf>
    <xf numFmtId="0" fontId="75" fillId="0" borderId="21" xfId="45" applyFont="1" applyBorder="1" applyAlignment="1">
      <alignment horizontal="center" vertical="center"/>
    </xf>
    <xf numFmtId="0" fontId="75" fillId="0" borderId="20" xfId="45" applyFont="1" applyBorder="1" applyAlignment="1">
      <alignment horizontal="center" vertical="center"/>
    </xf>
    <xf numFmtId="0" fontId="0" fillId="0" borderId="23" xfId="45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75" fillId="0" borderId="12" xfId="0" applyFont="1" applyBorder="1" applyAlignment="1">
      <alignment horizontal="center" vertical="center"/>
    </xf>
    <xf numFmtId="0" fontId="75" fillId="0" borderId="24" xfId="0" applyFont="1" applyBorder="1" applyAlignment="1">
      <alignment horizontal="center" vertical="center"/>
    </xf>
    <xf numFmtId="0" fontId="0" fillId="0" borderId="19" xfId="45" applyFont="1" applyBorder="1" applyAlignment="1">
      <alignment horizontal="center" vertical="center"/>
    </xf>
    <xf numFmtId="0" fontId="70" fillId="0" borderId="10" xfId="45" applyFont="1" applyBorder="1" applyAlignment="1">
      <alignment horizontal="center" vertical="center"/>
    </xf>
    <xf numFmtId="0" fontId="75" fillId="0" borderId="46" xfId="54" applyFont="1" applyBorder="1" applyAlignment="1">
      <alignment horizontal="center" vertical="center"/>
    </xf>
    <xf numFmtId="0" fontId="75" fillId="0" borderId="0" xfId="54" applyFont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164" fontId="0" fillId="0" borderId="0" xfId="45" applyNumberFormat="1" applyFont="1" applyAlignment="1">
      <alignment horizontal="center" vertical="center"/>
    </xf>
    <xf numFmtId="0" fontId="76" fillId="0" borderId="0" xfId="54" applyFont="1" applyAlignment="1">
      <alignment horizontal="center" vertical="center"/>
    </xf>
    <xf numFmtId="0" fontId="78" fillId="0" borderId="12" xfId="0" applyFont="1" applyBorder="1" applyAlignment="1">
      <alignment horizontal="center"/>
    </xf>
    <xf numFmtId="0" fontId="79" fillId="0" borderId="12" xfId="47" applyFont="1" applyBorder="1" applyAlignment="1">
      <alignment horizontal="center"/>
    </xf>
    <xf numFmtId="0" fontId="80" fillId="0" borderId="0" xfId="48" applyFont="1" applyAlignment="1"/>
    <xf numFmtId="0" fontId="80" fillId="0" borderId="0" xfId="56" applyFont="1" applyAlignment="1">
      <alignment horizontal="left"/>
    </xf>
    <xf numFmtId="0" fontId="80" fillId="0" borderId="0" xfId="48" applyFont="1" applyAlignment="1">
      <alignment horizontal="right"/>
    </xf>
    <xf numFmtId="0" fontId="80" fillId="0" borderId="0" xfId="48" applyFont="1" applyBorder="1" applyAlignment="1">
      <alignment horizontal="center"/>
    </xf>
    <xf numFmtId="0" fontId="80" fillId="0" borderId="0" xfId="48" applyFont="1" applyAlignment="1">
      <alignment horizontal="left"/>
    </xf>
    <xf numFmtId="0" fontId="80" fillId="0" borderId="0" xfId="47" applyFont="1" applyAlignment="1"/>
    <xf numFmtId="0" fontId="81" fillId="0" borderId="0" xfId="0" applyFont="1">
      <alignment vertical="center"/>
    </xf>
    <xf numFmtId="0" fontId="80" fillId="0" borderId="0" xfId="47" applyFont="1" applyBorder="1" applyAlignment="1">
      <alignment horizontal="center"/>
    </xf>
    <xf numFmtId="0" fontId="81" fillId="0" borderId="0" xfId="48" applyFont="1" applyAlignment="1">
      <alignment horizontal="right"/>
    </xf>
    <xf numFmtId="0" fontId="81" fillId="0" borderId="0" xfId="48" applyFont="1" applyAlignment="1"/>
    <xf numFmtId="0" fontId="81" fillId="0" borderId="0" xfId="48" applyFont="1" applyAlignment="1">
      <alignment horizontal="left"/>
    </xf>
    <xf numFmtId="0" fontId="81" fillId="0" borderId="0" xfId="48" applyFont="1" applyBorder="1" applyAlignment="1">
      <alignment horizontal="center" wrapText="1"/>
    </xf>
    <xf numFmtId="0" fontId="80" fillId="0" borderId="0" xfId="47" applyFont="1" applyAlignment="1">
      <alignment horizontal="left"/>
    </xf>
    <xf numFmtId="0" fontId="81" fillId="0" borderId="12" xfId="47" applyFont="1" applyBorder="1" applyAlignment="1">
      <alignment horizontal="center" wrapText="1"/>
    </xf>
    <xf numFmtId="0" fontId="80" fillId="0" borderId="0" xfId="48" applyFont="1" applyBorder="1" applyAlignment="1"/>
    <xf numFmtId="0" fontId="80" fillId="0" borderId="0" xfId="47" applyFont="1" applyBorder="1" applyAlignment="1"/>
    <xf numFmtId="0" fontId="82" fillId="0" borderId="12" xfId="47" applyFont="1" applyBorder="1" applyAlignment="1">
      <alignment horizontal="center" wrapText="1"/>
    </xf>
    <xf numFmtId="0" fontId="82" fillId="0" borderId="13" xfId="47" applyFont="1" applyBorder="1" applyAlignment="1">
      <alignment horizontal="center" wrapText="1"/>
    </xf>
    <xf numFmtId="0" fontId="82" fillId="24" borderId="32" xfId="47" applyFont="1" applyFill="1" applyBorder="1" applyAlignment="1">
      <alignment horizontal="center" wrapText="1"/>
    </xf>
    <xf numFmtId="0" fontId="82" fillId="24" borderId="33" xfId="47" applyFont="1" applyFill="1" applyBorder="1" applyAlignment="1">
      <alignment horizontal="center" wrapText="1"/>
    </xf>
    <xf numFmtId="0" fontId="82" fillId="24" borderId="34" xfId="47" applyFont="1" applyFill="1" applyBorder="1" applyAlignment="1">
      <alignment horizontal="center" wrapText="1"/>
    </xf>
    <xf numFmtId="0" fontId="82" fillId="24" borderId="35" xfId="47" applyFont="1" applyFill="1" applyBorder="1" applyAlignment="1">
      <alignment horizontal="center" wrapText="1"/>
    </xf>
    <xf numFmtId="0" fontId="82" fillId="24" borderId="12" xfId="47" applyFont="1" applyFill="1" applyBorder="1" applyAlignment="1">
      <alignment horizontal="center" wrapText="1"/>
    </xf>
    <xf numFmtId="0" fontId="82" fillId="24" borderId="36" xfId="47" applyFont="1" applyFill="1" applyBorder="1" applyAlignment="1">
      <alignment horizontal="center" wrapText="1"/>
    </xf>
    <xf numFmtId="0" fontId="81" fillId="0" borderId="0" xfId="0" applyFont="1" applyAlignment="1"/>
    <xf numFmtId="0" fontId="82" fillId="24" borderId="37" xfId="47" applyFont="1" applyFill="1" applyBorder="1" applyAlignment="1">
      <alignment horizontal="center" wrapText="1"/>
    </xf>
    <xf numFmtId="0" fontId="82" fillId="24" borderId="16" xfId="47" applyFont="1" applyFill="1" applyBorder="1" applyAlignment="1">
      <alignment horizontal="center" wrapText="1"/>
    </xf>
    <xf numFmtId="0" fontId="82" fillId="24" borderId="38" xfId="47" applyFont="1" applyFill="1" applyBorder="1" applyAlignment="1">
      <alignment horizontal="center" wrapText="1"/>
    </xf>
    <xf numFmtId="0" fontId="82" fillId="0" borderId="0" xfId="47" applyFont="1" applyBorder="1" applyAlignment="1">
      <alignment horizontal="center" wrapText="1"/>
    </xf>
    <xf numFmtId="0" fontId="82" fillId="0" borderId="0" xfId="47" applyFont="1" applyBorder="1" applyAlignment="1">
      <alignment horizontal="left" wrapText="1"/>
    </xf>
    <xf numFmtId="0" fontId="81" fillId="0" borderId="0" xfId="56" applyFont="1" applyAlignment="1">
      <alignment horizontal="left"/>
    </xf>
    <xf numFmtId="0" fontId="81" fillId="0" borderId="0" xfId="47" applyFont="1" applyAlignment="1"/>
    <xf numFmtId="0" fontId="81" fillId="0" borderId="0" xfId="47" applyFont="1" applyBorder="1" applyAlignment="1">
      <alignment horizontal="center"/>
    </xf>
    <xf numFmtId="0" fontId="81" fillId="0" borderId="0" xfId="47" applyFont="1" applyAlignment="1">
      <alignment horizontal="center"/>
    </xf>
    <xf numFmtId="0" fontId="81" fillId="0" borderId="0" xfId="47" applyFont="1" applyAlignment="1">
      <alignment horizontal="left"/>
    </xf>
    <xf numFmtId="0" fontId="80" fillId="0" borderId="0" xfId="47" applyFont="1" applyAlignment="1">
      <alignment horizontal="center"/>
    </xf>
    <xf numFmtId="0" fontId="79" fillId="0" borderId="14" xfId="47" applyFont="1" applyBorder="1" applyAlignment="1"/>
    <xf numFmtId="0" fontId="83" fillId="0" borderId="19" xfId="0" applyFont="1" applyBorder="1" applyAlignment="1">
      <alignment horizontal="center"/>
    </xf>
    <xf numFmtId="0" fontId="80" fillId="0" borderId="10" xfId="47" applyFont="1" applyBorder="1" applyAlignment="1">
      <alignment horizontal="center"/>
    </xf>
    <xf numFmtId="49" fontId="80" fillId="0" borderId="19" xfId="47" applyNumberFormat="1" applyFont="1" applyBorder="1" applyAlignment="1">
      <alignment horizontal="center"/>
    </xf>
    <xf numFmtId="0" fontId="80" fillId="0" borderId="12" xfId="0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applyFont="1" applyAlignment="1">
      <alignment horizontal="left"/>
    </xf>
    <xf numFmtId="0" fontId="80" fillId="0" borderId="0" xfId="0" applyFont="1" applyAlignment="1"/>
    <xf numFmtId="0" fontId="83" fillId="0" borderId="0" xfId="0" applyFont="1" applyBorder="1" applyAlignment="1">
      <alignment horizontal="center"/>
    </xf>
    <xf numFmtId="0" fontId="80" fillId="0" borderId="12" xfId="47" applyFont="1" applyBorder="1" applyAlignment="1">
      <alignment horizontal="center"/>
    </xf>
    <xf numFmtId="0" fontId="79" fillId="0" borderId="23" xfId="47" applyFont="1" applyBorder="1" applyAlignment="1"/>
    <xf numFmtId="0" fontId="80" fillId="0" borderId="29" xfId="0" applyFont="1" applyBorder="1" applyAlignment="1">
      <alignment horizontal="center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/>
    <xf numFmtId="0" fontId="80" fillId="0" borderId="20" xfId="47" applyFont="1" applyBorder="1" applyAlignment="1"/>
    <xf numFmtId="0" fontId="81" fillId="0" borderId="12" xfId="0" applyFont="1" applyBorder="1" applyAlignment="1">
      <alignment horizontal="center"/>
    </xf>
    <xf numFmtId="0" fontId="80" fillId="0" borderId="19" xfId="0" applyFont="1" applyBorder="1" applyAlignment="1">
      <alignment horizontal="center"/>
    </xf>
    <xf numFmtId="0" fontId="80" fillId="0" borderId="29" xfId="0" applyFont="1" applyBorder="1" applyAlignment="1">
      <alignment horizontal="left"/>
    </xf>
    <xf numFmtId="0" fontId="80" fillId="0" borderId="31" xfId="47" applyFont="1" applyBorder="1" applyAlignment="1">
      <alignment horizontal="center"/>
    </xf>
    <xf numFmtId="0" fontId="84" fillId="0" borderId="12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79" fillId="0" borderId="0" xfId="47" applyFont="1" applyAlignment="1"/>
    <xf numFmtId="0" fontId="80" fillId="0" borderId="11" xfId="0" applyFont="1" applyBorder="1" applyAlignment="1">
      <alignment horizontal="left"/>
    </xf>
    <xf numFmtId="0" fontId="79" fillId="0" borderId="21" xfId="47" applyFont="1" applyBorder="1" applyAlignment="1">
      <alignment horizontal="center"/>
    </xf>
    <xf numFmtId="0" fontId="80" fillId="0" borderId="14" xfId="47" applyFont="1" applyBorder="1" applyAlignment="1">
      <alignment horizontal="center"/>
    </xf>
    <xf numFmtId="0" fontId="80" fillId="0" borderId="19" xfId="47" applyFont="1" applyBorder="1" applyAlignment="1">
      <alignment horizontal="center"/>
    </xf>
    <xf numFmtId="0" fontId="79" fillId="0" borderId="12" xfId="0" applyFont="1" applyBorder="1" applyAlignment="1">
      <alignment horizontal="center"/>
    </xf>
    <xf numFmtId="49" fontId="79" fillId="0" borderId="23" xfId="47" applyNumberFormat="1" applyFont="1" applyBorder="1" applyAlignment="1">
      <alignment horizontal="left"/>
    </xf>
    <xf numFmtId="0" fontId="80" fillId="0" borderId="13" xfId="0" applyFont="1" applyBorder="1" applyAlignment="1">
      <alignment horizontal="center"/>
    </xf>
    <xf numFmtId="0" fontId="80" fillId="0" borderId="10" xfId="0" applyFont="1" applyBorder="1" applyAlignment="1">
      <alignment horizontal="center"/>
    </xf>
    <xf numFmtId="0" fontId="80" fillId="0" borderId="0" xfId="0" applyFont="1" applyBorder="1" applyAlignment="1">
      <alignment horizontal="left"/>
    </xf>
    <xf numFmtId="0" fontId="80" fillId="0" borderId="10" xfId="47" applyFont="1" applyBorder="1" applyAlignment="1"/>
    <xf numFmtId="0" fontId="80" fillId="0" borderId="12" xfId="0" applyFont="1" applyBorder="1" applyAlignment="1">
      <alignment horizontal="left"/>
    </xf>
    <xf numFmtId="0" fontId="83" fillId="0" borderId="20" xfId="0" applyFont="1" applyBorder="1" applyAlignment="1">
      <alignment horizontal="center"/>
    </xf>
    <xf numFmtId="0" fontId="80" fillId="0" borderId="29" xfId="47" applyFont="1" applyBorder="1" applyAlignment="1"/>
    <xf numFmtId="0" fontId="79" fillId="0" borderId="0" xfId="47" applyFont="1" applyBorder="1" applyAlignment="1">
      <alignment horizontal="center"/>
    </xf>
    <xf numFmtId="49" fontId="85" fillId="0" borderId="0" xfId="47" applyNumberFormat="1" applyFont="1" applyBorder="1" applyAlignment="1">
      <alignment horizontal="left"/>
    </xf>
    <xf numFmtId="49" fontId="85" fillId="0" borderId="0" xfId="47" applyNumberFormat="1" applyFont="1" applyBorder="1" applyAlignment="1">
      <alignment horizontal="center"/>
    </xf>
    <xf numFmtId="0" fontId="80" fillId="0" borderId="20" xfId="0" applyFont="1" applyBorder="1" applyAlignment="1">
      <alignment horizontal="center"/>
    </xf>
    <xf numFmtId="49" fontId="85" fillId="0" borderId="19" xfId="47" applyNumberFormat="1" applyFont="1" applyBorder="1" applyAlignment="1">
      <alignment horizontal="center"/>
    </xf>
    <xf numFmtId="0" fontId="83" fillId="0" borderId="29" xfId="0" applyFont="1" applyBorder="1" applyAlignment="1">
      <alignment horizontal="left"/>
    </xf>
    <xf numFmtId="0" fontId="80" fillId="0" borderId="23" xfId="47" applyFont="1" applyBorder="1" applyAlignment="1">
      <alignment horizontal="center"/>
    </xf>
    <xf numFmtId="0" fontId="80" fillId="0" borderId="20" xfId="47" applyFont="1" applyBorder="1" applyAlignment="1">
      <alignment horizontal="left"/>
    </xf>
    <xf numFmtId="0" fontId="83" fillId="0" borderId="19" xfId="47" applyFont="1" applyBorder="1" applyAlignment="1">
      <alignment horizontal="center"/>
    </xf>
    <xf numFmtId="0" fontId="81" fillId="0" borderId="21" xfId="44" applyFont="1" applyBorder="1" applyAlignment="1">
      <alignment horizontal="center"/>
    </xf>
    <xf numFmtId="0" fontId="80" fillId="0" borderId="21" xfId="0" applyFont="1" applyBorder="1" applyAlignment="1">
      <alignment horizontal="center"/>
    </xf>
    <xf numFmtId="0" fontId="86" fillId="0" borderId="0" xfId="0" applyFont="1" applyAlignment="1">
      <alignment horizontal="left"/>
    </xf>
    <xf numFmtId="0" fontId="86" fillId="0" borderId="0" xfId="47" applyFont="1" applyAlignment="1">
      <alignment horizontal="center"/>
    </xf>
    <xf numFmtId="0" fontId="87" fillId="0" borderId="12" xfId="47" applyFont="1" applyBorder="1" applyAlignment="1">
      <alignment horizontal="center"/>
    </xf>
    <xf numFmtId="0" fontId="79" fillId="0" borderId="0" xfId="47" applyFont="1" applyBorder="1" applyAlignment="1"/>
    <xf numFmtId="0" fontId="79" fillId="0" borderId="0" xfId="0" applyFont="1" applyBorder="1" applyAlignment="1">
      <alignment horizontal="right"/>
    </xf>
    <xf numFmtId="0" fontId="79" fillId="0" borderId="0" xfId="47" applyFont="1" applyBorder="1" applyAlignment="1">
      <alignment horizontal="right"/>
    </xf>
    <xf numFmtId="0" fontId="86" fillId="0" borderId="0" xfId="0" applyFont="1" applyBorder="1" applyAlignment="1"/>
    <xf numFmtId="0" fontId="81" fillId="0" borderId="0" xfId="44" applyFont="1" applyBorder="1" applyAlignment="1">
      <alignment horizontal="center"/>
    </xf>
    <xf numFmtId="0" fontId="80" fillId="0" borderId="0" xfId="47" applyFont="1" applyBorder="1" applyAlignment="1">
      <alignment horizontal="left"/>
    </xf>
    <xf numFmtId="0" fontId="88" fillId="0" borderId="0" xfId="0" applyFont="1" applyAlignment="1">
      <alignment horizontal="center" vertical="center"/>
    </xf>
    <xf numFmtId="0" fontId="88" fillId="0" borderId="0" xfId="0" applyFont="1" applyBorder="1" applyAlignment="1" applyProtection="1">
      <alignment horizontal="center" vertical="center"/>
    </xf>
    <xf numFmtId="0" fontId="31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45" fillId="6" borderId="12" xfId="53" applyFont="1" applyFill="1" applyBorder="1" applyAlignment="1">
      <alignment horizontal="center"/>
    </xf>
    <xf numFmtId="0" fontId="45" fillId="0" borderId="24" xfId="53" applyFont="1" applyBorder="1" applyAlignment="1">
      <alignment horizontal="center"/>
    </xf>
    <xf numFmtId="0" fontId="45" fillId="6" borderId="12" xfId="55" applyFont="1" applyFill="1" applyBorder="1" applyAlignment="1">
      <alignment horizontal="center"/>
    </xf>
    <xf numFmtId="0" fontId="20" fillId="0" borderId="24" xfId="55" applyFont="1" applyBorder="1" applyAlignment="1">
      <alignment horizontal="center"/>
    </xf>
    <xf numFmtId="0" fontId="45" fillId="0" borderId="12" xfId="54" applyFont="1" applyBorder="1" applyAlignment="1">
      <alignment horizontal="center" vertical="center"/>
    </xf>
    <xf numFmtId="0" fontId="75" fillId="0" borderId="12" xfId="45" applyFont="1" applyBorder="1" applyAlignment="1">
      <alignment horizontal="center" vertical="center"/>
    </xf>
    <xf numFmtId="0" fontId="75" fillId="0" borderId="28" xfId="45" applyFont="1" applyBorder="1" applyAlignment="1">
      <alignment horizontal="center" vertical="center"/>
    </xf>
    <xf numFmtId="0" fontId="45" fillId="0" borderId="13" xfId="54" applyFont="1" applyBorder="1" applyAlignment="1">
      <alignment horizontal="center" vertical="center"/>
    </xf>
    <xf numFmtId="0" fontId="75" fillId="0" borderId="12" xfId="54" applyFont="1" applyBorder="1" applyAlignment="1">
      <alignment horizontal="center" vertical="center"/>
    </xf>
  </cellXfs>
  <cellStyles count="57">
    <cellStyle name="?" xfId="19" xr:uid="{00000000-0005-0000-0000-000018000000}"/>
    <cellStyle name="? 1" xfId="20" xr:uid="{00000000-0005-0000-0000-000019000000}"/>
    <cellStyle name="??" xfId="21" xr:uid="{00000000-0005-0000-0000-00001A000000}"/>
    <cellStyle name="?? 1" xfId="22" xr:uid="{00000000-0005-0000-0000-00001B000000}"/>
    <cellStyle name="?? 1 1" xfId="23" xr:uid="{00000000-0005-0000-0000-00001C000000}"/>
    <cellStyle name="?? 2" xfId="24" xr:uid="{00000000-0005-0000-0000-00001D000000}"/>
    <cellStyle name="?? 2 1" xfId="25" xr:uid="{00000000-0005-0000-0000-00001E000000}"/>
    <cellStyle name="?? 3" xfId="26" xr:uid="{00000000-0005-0000-0000-00001F000000}"/>
    <cellStyle name="?? 3 1" xfId="27" xr:uid="{00000000-0005-0000-0000-000020000000}"/>
    <cellStyle name="?? 4" xfId="28" xr:uid="{00000000-0005-0000-0000-000021000000}"/>
    <cellStyle name="?? 5" xfId="29" xr:uid="{00000000-0005-0000-0000-000022000000}"/>
    <cellStyle name="?? 6" xfId="30" xr:uid="{00000000-0005-0000-0000-000023000000}"/>
    <cellStyle name="?? 7" xfId="31" xr:uid="{00000000-0005-0000-0000-000024000000}"/>
    <cellStyle name="?? 8" xfId="32" xr:uid="{00000000-0005-0000-0000-000025000000}"/>
    <cellStyle name="????" xfId="39" xr:uid="{00000000-0005-0000-0000-00002C000000}"/>
    <cellStyle name="???? 1" xfId="40" xr:uid="{00000000-0005-0000-0000-00002D000000}"/>
    <cellStyle name="???? 2" xfId="41" xr:uid="{00000000-0005-0000-0000-00002E000000}"/>
    <cellStyle name="?????" xfId="42" xr:uid="{00000000-0005-0000-0000-00002F000000}"/>
    <cellStyle name="??????" xfId="43" xr:uid="{00000000-0005-0000-0000-000030000000}"/>
    <cellStyle name="??_LCSDCup_Information" xfId="44" xr:uid="{00000000-0005-0000-0000-000031000000}"/>
    <cellStyle name="??_LCSDCup_Information 2" xfId="45" xr:uid="{00000000-0005-0000-0000-000032000000}"/>
    <cellStyle name="??_LCSDCup_Information_2005LCSD INFORMATION" xfId="46" xr:uid="{00000000-0005-0000-0000-000033000000}"/>
    <cellStyle name="??_MEN_32_To8" xfId="47" xr:uid="{00000000-0005-0000-0000-000034000000}"/>
    <cellStyle name="??1" xfId="33" xr:uid="{00000000-0005-0000-0000-000026000000}"/>
    <cellStyle name="??2" xfId="34" xr:uid="{00000000-0005-0000-0000-000027000000}"/>
    <cellStyle name="??3" xfId="35" xr:uid="{00000000-0005-0000-0000-000028000000}"/>
    <cellStyle name="??4" xfId="36" xr:uid="{00000000-0005-0000-0000-000029000000}"/>
    <cellStyle name="??5" xfId="37" xr:uid="{00000000-0005-0000-0000-00002A000000}"/>
    <cellStyle name="??6" xfId="38" xr:uid="{00000000-0005-0000-0000-00002B000000}"/>
    <cellStyle name="20% - ??1" xfId="1" xr:uid="{00000000-0005-0000-0000-000006000000}"/>
    <cellStyle name="20% - ??2" xfId="2" xr:uid="{00000000-0005-0000-0000-000007000000}"/>
    <cellStyle name="20% - ??3" xfId="3" xr:uid="{00000000-0005-0000-0000-000008000000}"/>
    <cellStyle name="20% - ??4" xfId="4" xr:uid="{00000000-0005-0000-0000-000009000000}"/>
    <cellStyle name="20% - ??5" xfId="5" xr:uid="{00000000-0005-0000-0000-00000A000000}"/>
    <cellStyle name="20% - ??6" xfId="6" xr:uid="{00000000-0005-0000-0000-00000B000000}"/>
    <cellStyle name="40% - ??1" xfId="7" xr:uid="{00000000-0005-0000-0000-00000C000000}"/>
    <cellStyle name="40% - ??2" xfId="8" xr:uid="{00000000-0005-0000-0000-00000D000000}"/>
    <cellStyle name="40% - ??3" xfId="9" xr:uid="{00000000-0005-0000-0000-00000E000000}"/>
    <cellStyle name="40% - ??4" xfId="10" xr:uid="{00000000-0005-0000-0000-00000F000000}"/>
    <cellStyle name="40% - ??5" xfId="11" xr:uid="{00000000-0005-0000-0000-000010000000}"/>
    <cellStyle name="40% - ??6" xfId="12" xr:uid="{00000000-0005-0000-0000-000011000000}"/>
    <cellStyle name="60% - ??1" xfId="13" xr:uid="{00000000-0005-0000-0000-000012000000}"/>
    <cellStyle name="60% - ??2" xfId="14" xr:uid="{00000000-0005-0000-0000-000013000000}"/>
    <cellStyle name="60% - ??3" xfId="15" xr:uid="{00000000-0005-0000-0000-000014000000}"/>
    <cellStyle name="60% - ??4" xfId="16" xr:uid="{00000000-0005-0000-0000-000015000000}"/>
    <cellStyle name="60% - ??5" xfId="17" xr:uid="{00000000-0005-0000-0000-000016000000}"/>
    <cellStyle name="60% - ??6" xfId="18" xr:uid="{00000000-0005-0000-0000-000017000000}"/>
    <cellStyle name="一般" xfId="0" builtinId="0"/>
    <cellStyle name="一般 2" xfId="50" xr:uid="{00000000-0005-0000-0000-000037000000}"/>
    <cellStyle name="一般 3" xfId="51" xr:uid="{00000000-0005-0000-0000-000038000000}"/>
    <cellStyle name="一般 4" xfId="52" xr:uid="{00000000-0005-0000-0000-000039000000}"/>
    <cellStyle name="一般_LCSDCup_Information" xfId="53" xr:uid="{00000000-0005-0000-0000-00003A000000}"/>
    <cellStyle name="一般_LCSDCup_Information 2" xfId="54" xr:uid="{00000000-0005-0000-0000-00003B000000}"/>
    <cellStyle name="一般_LCSDCup_Information_2005LCSD INFORMATION" xfId="55" xr:uid="{00000000-0005-0000-0000-00003C000000}"/>
    <cellStyle name="一般_MEN_32_To8" xfId="56" xr:uid="{00000000-0005-0000-0000-00003D000000}"/>
    <cellStyle name="㽎㼿㼿㼿㼿㼿?" xfId="48" xr:uid="{00000000-0005-0000-0000-000035000000}"/>
    <cellStyle name="㽎㼿㼿㼿㼿㼿㼿㼿㼿㼿㼿" xfId="49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9D18E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0"/>
  <sheetViews>
    <sheetView zoomScale="90" zoomScaleNormal="90" workbookViewId="0">
      <selection activeCell="B58" sqref="B58"/>
    </sheetView>
  </sheetViews>
  <sheetFormatPr defaultColWidth="7.44140625" defaultRowHeight="17.25"/>
  <cols>
    <col min="1" max="1" width="9.21875" style="1" customWidth="1"/>
    <col min="2" max="2" width="93.109375" style="2" customWidth="1"/>
    <col min="3" max="1024" width="7.44140625" style="2"/>
  </cols>
  <sheetData>
    <row r="1" spans="1:2" s="3" customFormat="1" ht="33" customHeight="1">
      <c r="A1" s="507" t="s">
        <v>0</v>
      </c>
      <c r="B1" s="507"/>
    </row>
    <row r="2" spans="1:2" s="3" customFormat="1" ht="27" customHeight="1">
      <c r="A2" s="507" t="s">
        <v>1</v>
      </c>
      <c r="B2" s="507"/>
    </row>
    <row r="3" spans="1:2" s="3" customFormat="1" ht="15.75">
      <c r="A3" s="4"/>
    </row>
    <row r="4" spans="1:2" s="3" customFormat="1" ht="17.25" customHeight="1">
      <c r="A4" s="5" t="s">
        <v>2</v>
      </c>
      <c r="B4" s="6" t="s">
        <v>3</v>
      </c>
    </row>
    <row r="5" spans="1:2" s="3" customFormat="1" ht="17.25" customHeight="1">
      <c r="A5" s="5"/>
      <c r="B5" s="6" t="s">
        <v>4</v>
      </c>
    </row>
    <row r="6" spans="1:2" s="3" customFormat="1" ht="17.25" customHeight="1">
      <c r="A6" s="5" t="s">
        <v>5</v>
      </c>
      <c r="B6" s="6" t="s">
        <v>6</v>
      </c>
    </row>
    <row r="7" spans="1:2" s="3" customFormat="1" ht="17.25" customHeight="1">
      <c r="A7" s="5" t="s">
        <v>7</v>
      </c>
      <c r="B7" s="7" t="s">
        <v>8</v>
      </c>
    </row>
    <row r="8" spans="1:2" s="3" customFormat="1" ht="17.25" customHeight="1">
      <c r="A8" s="8"/>
      <c r="B8" s="6" t="s">
        <v>9</v>
      </c>
    </row>
    <row r="9" spans="1:2" s="3" customFormat="1" ht="17.25" customHeight="1">
      <c r="A9" s="8"/>
      <c r="B9" s="6" t="s">
        <v>10</v>
      </c>
    </row>
    <row r="10" spans="1:2" s="3" customFormat="1" ht="17.25" customHeight="1">
      <c r="A10" s="8"/>
      <c r="B10" s="6" t="s">
        <v>11</v>
      </c>
    </row>
    <row r="11" spans="1:2" s="3" customFormat="1" ht="17.25" customHeight="1">
      <c r="A11" s="8"/>
      <c r="B11" s="6" t="s">
        <v>12</v>
      </c>
    </row>
    <row r="12" spans="1:2" s="3" customFormat="1" ht="17.25" customHeight="1">
      <c r="A12" s="8"/>
      <c r="B12" s="9" t="s">
        <v>13</v>
      </c>
    </row>
    <row r="13" spans="1:2" s="3" customFormat="1" ht="17.25" customHeight="1">
      <c r="A13" s="8"/>
      <c r="B13" s="9" t="s">
        <v>14</v>
      </c>
    </row>
    <row r="14" spans="1:2" s="10" customFormat="1" ht="17.25" customHeight="1">
      <c r="A14" s="8"/>
      <c r="B14" s="9" t="s">
        <v>15</v>
      </c>
    </row>
    <row r="15" spans="1:2" s="3" customFormat="1" ht="16.5">
      <c r="A15" s="8"/>
      <c r="B15" s="11" t="s">
        <v>16</v>
      </c>
    </row>
    <row r="16" spans="1:2" s="3" customFormat="1" ht="17.25" customHeight="1">
      <c r="A16" s="8"/>
      <c r="B16" s="11"/>
    </row>
    <row r="17" spans="1:2" s="3" customFormat="1" ht="16.5">
      <c r="A17" s="5"/>
      <c r="B17" s="11" t="s">
        <v>17</v>
      </c>
    </row>
    <row r="18" spans="1:2" s="3" customFormat="1" ht="16.5">
      <c r="A18" s="5"/>
      <c r="B18" s="11"/>
    </row>
    <row r="19" spans="1:2" s="3" customFormat="1" ht="16.5">
      <c r="A19" s="5"/>
      <c r="B19" s="3" t="s">
        <v>18</v>
      </c>
    </row>
    <row r="20" spans="1:2" s="3" customFormat="1" ht="15.75">
      <c r="A20" s="4"/>
    </row>
    <row r="21" spans="1:2" s="3" customFormat="1" ht="16.5" hidden="1">
      <c r="A21" s="4"/>
      <c r="B21" s="11" t="s">
        <v>19</v>
      </c>
    </row>
    <row r="22" spans="1:2" s="3" customFormat="1" ht="15.75" hidden="1">
      <c r="A22" s="4" t="s">
        <v>20</v>
      </c>
      <c r="B22" s="3" t="s">
        <v>21</v>
      </c>
    </row>
    <row r="23" spans="1:2" s="3" customFormat="1" ht="15.75" hidden="1">
      <c r="A23" s="4"/>
      <c r="B23" s="3" t="s">
        <v>22</v>
      </c>
    </row>
    <row r="24" spans="1:2" s="3" customFormat="1" ht="15.75" hidden="1">
      <c r="A24" s="4" t="s">
        <v>23</v>
      </c>
      <c r="B24" s="3" t="s">
        <v>24</v>
      </c>
    </row>
    <row r="25" spans="1:2" s="3" customFormat="1" ht="15.75" hidden="1">
      <c r="A25" s="4" t="s">
        <v>25</v>
      </c>
      <c r="B25" s="3" t="s">
        <v>26</v>
      </c>
    </row>
    <row r="26" spans="1:2" s="3" customFormat="1" ht="15.75" hidden="1">
      <c r="A26" s="4"/>
      <c r="B26" s="3" t="s">
        <v>27</v>
      </c>
    </row>
    <row r="27" spans="1:2" s="3" customFormat="1" ht="15.75" hidden="1">
      <c r="A27" s="4"/>
      <c r="B27" s="3" t="s">
        <v>28</v>
      </c>
    </row>
    <row r="28" spans="1:2" s="3" customFormat="1" ht="15.75" hidden="1">
      <c r="A28" s="4"/>
      <c r="B28" s="12" t="s">
        <v>29</v>
      </c>
    </row>
    <row r="29" spans="1:2" s="3" customFormat="1" ht="15.75" hidden="1">
      <c r="A29" s="4"/>
      <c r="B29" s="3" t="s">
        <v>30</v>
      </c>
    </row>
    <row r="30" spans="1:2" s="3" customFormat="1" ht="15.75" hidden="1">
      <c r="A30" s="4"/>
      <c r="B30" s="3" t="s">
        <v>31</v>
      </c>
    </row>
    <row r="31" spans="1:2" s="3" customFormat="1" ht="15.75" hidden="1">
      <c r="A31" s="4"/>
      <c r="B31" s="3" t="s">
        <v>32</v>
      </c>
    </row>
    <row r="32" spans="1:2" s="3" customFormat="1" ht="15.75" hidden="1">
      <c r="A32" s="4"/>
      <c r="B32" s="3" t="s">
        <v>33</v>
      </c>
    </row>
    <row r="33" spans="1:2" s="3" customFormat="1" ht="15.75" hidden="1">
      <c r="A33" s="4"/>
      <c r="B33" s="13" t="s">
        <v>34</v>
      </c>
    </row>
    <row r="34" spans="1:2" s="3" customFormat="1" ht="15.75" hidden="1">
      <c r="A34" s="4"/>
      <c r="B34" s="3" t="s">
        <v>35</v>
      </c>
    </row>
    <row r="35" spans="1:2" s="3" customFormat="1" ht="15.75" hidden="1">
      <c r="A35" s="4"/>
      <c r="B35" s="3" t="s">
        <v>36</v>
      </c>
    </row>
    <row r="36" spans="1:2" s="3" customFormat="1" ht="15.75" hidden="1">
      <c r="A36" s="4"/>
      <c r="B36" s="3" t="s">
        <v>37</v>
      </c>
    </row>
    <row r="37" spans="1:2" s="3" customFormat="1" ht="15.75" hidden="1">
      <c r="A37" s="4"/>
      <c r="B37" s="14" t="s">
        <v>38</v>
      </c>
    </row>
    <row r="38" spans="1:2" s="3" customFormat="1" ht="15.75" hidden="1">
      <c r="A38" s="4"/>
      <c r="B38" s="12" t="s">
        <v>39</v>
      </c>
    </row>
    <row r="39" spans="1:2" s="3" customFormat="1" ht="15.75" hidden="1">
      <c r="A39" s="4"/>
      <c r="B39" s="3" t="s">
        <v>40</v>
      </c>
    </row>
    <row r="40" spans="1:2" s="3" customFormat="1" ht="16.5">
      <c r="A40" s="4"/>
      <c r="B40" s="11" t="s">
        <v>19</v>
      </c>
    </row>
    <row r="41" spans="1:2" s="3" customFormat="1" ht="15.75">
      <c r="A41" s="4"/>
      <c r="B41" s="3" t="s">
        <v>21</v>
      </c>
    </row>
    <row r="42" spans="1:2" s="3" customFormat="1" ht="15.75">
      <c r="A42" s="4"/>
      <c r="B42" s="3" t="s">
        <v>22</v>
      </c>
    </row>
    <row r="43" spans="1:2" s="3" customFormat="1" ht="15.75">
      <c r="A43" s="4"/>
      <c r="B43" s="3" t="s">
        <v>24</v>
      </c>
    </row>
    <row r="44" spans="1:2" s="3" customFormat="1" ht="15.75">
      <c r="A44" s="4"/>
      <c r="B44" s="3" t="s">
        <v>26</v>
      </c>
    </row>
    <row r="45" spans="1:2" s="3" customFormat="1" ht="15.75">
      <c r="A45" s="4"/>
      <c r="B45" s="3" t="s">
        <v>27</v>
      </c>
    </row>
    <row r="46" spans="1:2" s="3" customFormat="1" ht="15.75">
      <c r="A46" s="4"/>
      <c r="B46" s="3" t="s">
        <v>28</v>
      </c>
    </row>
    <row r="47" spans="1:2" s="3" customFormat="1" ht="15.75">
      <c r="A47" s="4"/>
      <c r="B47" s="3" t="s">
        <v>41</v>
      </c>
    </row>
    <row r="48" spans="1:2" s="3" customFormat="1" ht="15.75">
      <c r="A48" s="4"/>
      <c r="B48" s="3" t="s">
        <v>30</v>
      </c>
    </row>
    <row r="49" spans="1:2" s="3" customFormat="1" ht="15.75">
      <c r="A49" s="4"/>
      <c r="B49" s="3" t="s">
        <v>42</v>
      </c>
    </row>
    <row r="50" spans="1:2" s="3" customFormat="1" ht="15.75">
      <c r="A50" s="4"/>
      <c r="B50" s="3" t="s">
        <v>32</v>
      </c>
    </row>
    <row r="51" spans="1:2" s="3" customFormat="1" ht="15.75">
      <c r="A51" s="4"/>
      <c r="B51" s="3" t="s">
        <v>43</v>
      </c>
    </row>
    <row r="52" spans="1:2" s="3" customFormat="1" ht="15.75">
      <c r="A52" s="4"/>
      <c r="B52" s="13" t="s">
        <v>34</v>
      </c>
    </row>
    <row r="53" spans="1:2" s="3" customFormat="1" ht="15.75">
      <c r="A53" s="4"/>
      <c r="B53" s="3" t="s">
        <v>35</v>
      </c>
    </row>
    <row r="54" spans="1:2" s="3" customFormat="1" ht="15.75">
      <c r="A54" s="4"/>
      <c r="B54" s="3" t="s">
        <v>36</v>
      </c>
    </row>
    <row r="55" spans="1:2" s="3" customFormat="1" ht="15.75">
      <c r="A55" s="4"/>
      <c r="B55" s="3" t="s">
        <v>37</v>
      </c>
    </row>
    <row r="56" spans="1:2" s="3" customFormat="1" ht="15.75">
      <c r="A56" s="4"/>
      <c r="B56" s="14" t="s">
        <v>38</v>
      </c>
    </row>
    <row r="57" spans="1:2" s="3" customFormat="1" ht="15.75">
      <c r="A57" s="4"/>
      <c r="B57" s="3" t="s">
        <v>40</v>
      </c>
    </row>
    <row r="58" spans="1:2" s="3" customFormat="1" ht="15.75">
      <c r="A58" s="4"/>
      <c r="B58" s="3" t="s">
        <v>39</v>
      </c>
    </row>
    <row r="59" spans="1:2" s="3" customFormat="1" ht="15.75">
      <c r="A59" s="4"/>
      <c r="B59" s="3" t="s">
        <v>40</v>
      </c>
    </row>
    <row r="60" spans="1:2" s="3" customFormat="1" ht="15.75">
      <c r="A60" s="4"/>
    </row>
  </sheetData>
  <mergeCells count="2">
    <mergeCell ref="A1:B1"/>
    <mergeCell ref="A2:B2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D154"/>
  <sheetViews>
    <sheetView topLeftCell="A118" zoomScale="80" zoomScaleNormal="80" zoomScalePageLayoutView="70" workbookViewId="0">
      <selection activeCell="I23" sqref="I23"/>
    </sheetView>
  </sheetViews>
  <sheetFormatPr defaultColWidth="7.44140625" defaultRowHeight="17.25"/>
  <cols>
    <col min="1" max="1" width="8.77734375" style="342" customWidth="1"/>
    <col min="2" max="2" width="11.33203125" style="342" customWidth="1"/>
    <col min="3" max="3" width="7.44140625" style="343"/>
    <col min="4" max="4" width="10.109375" style="343" customWidth="1"/>
    <col min="5" max="5" width="9.77734375" style="343" customWidth="1"/>
    <col min="6" max="6" width="11.109375" style="343" customWidth="1"/>
    <col min="7" max="7" width="8.109375" style="342" customWidth="1"/>
    <col min="8" max="8" width="12.77734375" style="344" customWidth="1"/>
    <col min="9" max="9" width="10.77734375" style="345" customWidth="1"/>
    <col min="10" max="10" width="13.109375" style="342" customWidth="1"/>
    <col min="11" max="11" width="7.44140625" style="342"/>
    <col min="12" max="13" width="7.44140625" style="343"/>
    <col min="14" max="14" width="7.44140625" style="342"/>
    <col min="15" max="15" width="9.44140625" style="342" customWidth="1"/>
    <col min="16" max="16" width="8.77734375" style="346" customWidth="1"/>
    <col min="17" max="17" width="10.88671875" style="343" customWidth="1"/>
    <col min="18" max="1018" width="7.44140625" style="342"/>
  </cols>
  <sheetData>
    <row r="1" spans="2:16" ht="16.5" customHeight="1">
      <c r="B1" s="347"/>
      <c r="C1" s="348"/>
      <c r="D1" s="348"/>
      <c r="E1" s="348"/>
      <c r="G1" s="349"/>
      <c r="H1" s="350" t="s">
        <v>1062</v>
      </c>
      <c r="I1" s="349"/>
      <c r="J1" s="349"/>
    </row>
    <row r="2" spans="2:16" ht="16.5" customHeight="1">
      <c r="C2" s="348"/>
      <c r="D2" s="348"/>
      <c r="E2" s="348"/>
      <c r="G2" s="349"/>
      <c r="H2" s="351" t="s">
        <v>1063</v>
      </c>
      <c r="I2" s="349"/>
      <c r="J2" s="349"/>
    </row>
    <row r="3" spans="2:16" ht="16.5" customHeight="1">
      <c r="C3" s="348"/>
      <c r="D3" s="348"/>
      <c r="E3" s="348"/>
      <c r="F3" s="349"/>
      <c r="G3" s="349"/>
      <c r="H3" s="349"/>
      <c r="I3" s="349"/>
      <c r="J3" s="349"/>
    </row>
    <row r="4" spans="2:16" ht="16.5" customHeight="1">
      <c r="C4" s="348"/>
      <c r="D4" s="348"/>
      <c r="E4" s="348"/>
      <c r="F4" s="342"/>
      <c r="G4" s="349"/>
      <c r="H4" s="352" t="s">
        <v>1064</v>
      </c>
      <c r="I4" s="349"/>
      <c r="J4" s="349"/>
    </row>
    <row r="5" spans="2:16" ht="16.5" customHeight="1">
      <c r="F5" s="342"/>
      <c r="H5" s="353" t="s">
        <v>1065</v>
      </c>
    </row>
    <row r="6" spans="2:16">
      <c r="B6" s="354"/>
      <c r="C6" s="354"/>
      <c r="D6" s="354"/>
      <c r="E6" s="354"/>
      <c r="F6" s="354"/>
      <c r="G6" s="354"/>
      <c r="I6" s="354"/>
      <c r="J6" s="354"/>
    </row>
    <row r="7" spans="2:16">
      <c r="B7" s="343"/>
      <c r="E7" s="355" t="s">
        <v>1066</v>
      </c>
      <c r="F7" s="355"/>
      <c r="G7" s="343"/>
      <c r="I7" s="354"/>
      <c r="J7" s="343"/>
      <c r="L7" s="356" t="s">
        <v>1067</v>
      </c>
      <c r="M7" s="351"/>
      <c r="N7" s="351"/>
      <c r="P7" s="344"/>
    </row>
    <row r="8" spans="2:16">
      <c r="B8" s="354"/>
      <c r="C8" s="357" t="s">
        <v>1068</v>
      </c>
      <c r="D8" s="358" t="s">
        <v>1069</v>
      </c>
      <c r="E8" s="359" t="s">
        <v>1070</v>
      </c>
      <c r="F8" s="359" t="s">
        <v>1071</v>
      </c>
      <c r="G8" s="360"/>
      <c r="H8" s="342"/>
      <c r="J8" s="361" t="s">
        <v>1072</v>
      </c>
      <c r="K8" s="361" t="s">
        <v>1073</v>
      </c>
      <c r="L8" s="512" t="s">
        <v>1074</v>
      </c>
      <c r="M8" s="512"/>
      <c r="N8" s="512"/>
      <c r="O8" s="512"/>
    </row>
    <row r="9" spans="2:16">
      <c r="B9" s="354"/>
      <c r="C9" s="362"/>
      <c r="D9" s="363" t="s">
        <v>1075</v>
      </c>
      <c r="E9" s="364" t="s">
        <v>1076</v>
      </c>
      <c r="F9" s="365" t="s">
        <v>1077</v>
      </c>
      <c r="G9" s="366"/>
      <c r="I9" s="354"/>
      <c r="J9" s="367" t="s">
        <v>1078</v>
      </c>
      <c r="K9" s="367" t="s">
        <v>1079</v>
      </c>
      <c r="L9" s="361" t="s">
        <v>424</v>
      </c>
      <c r="M9" s="361" t="s">
        <v>425</v>
      </c>
      <c r="N9" s="361"/>
      <c r="O9" s="361"/>
    </row>
    <row r="10" spans="2:16">
      <c r="B10" s="368"/>
      <c r="C10" s="362"/>
      <c r="D10" s="363" t="s">
        <v>1080</v>
      </c>
      <c r="E10" s="363" t="s">
        <v>1081</v>
      </c>
      <c r="F10" s="369" t="s">
        <v>598</v>
      </c>
      <c r="G10" s="366"/>
      <c r="I10" s="354"/>
      <c r="J10" s="370">
        <v>0.375</v>
      </c>
      <c r="K10" s="361">
        <v>1</v>
      </c>
      <c r="L10" s="371" t="s">
        <v>1082</v>
      </c>
      <c r="M10" s="371" t="s">
        <v>1083</v>
      </c>
      <c r="N10" s="361"/>
      <c r="O10" s="372"/>
    </row>
    <row r="11" spans="2:16">
      <c r="B11" s="354"/>
      <c r="C11" s="373"/>
      <c r="D11" s="374" t="s">
        <v>1084</v>
      </c>
      <c r="E11" s="375" t="s">
        <v>599</v>
      </c>
      <c r="F11" s="376" t="s">
        <v>1085</v>
      </c>
      <c r="G11" s="377"/>
      <c r="I11" s="354"/>
      <c r="J11" s="370">
        <v>0.38888888888888901</v>
      </c>
      <c r="K11" s="361">
        <v>2</v>
      </c>
      <c r="L11" s="371" t="s">
        <v>1086</v>
      </c>
      <c r="M11" s="371" t="s">
        <v>1087</v>
      </c>
      <c r="N11" s="372"/>
      <c r="O11" s="372"/>
    </row>
    <row r="12" spans="2:16">
      <c r="B12" s="354"/>
      <c r="C12" s="354"/>
      <c r="D12" s="354"/>
      <c r="E12" s="354"/>
      <c r="F12" s="354"/>
      <c r="G12" s="354"/>
      <c r="I12" s="354"/>
      <c r="J12" s="370">
        <v>0.40277777777777801</v>
      </c>
      <c r="K12" s="361">
        <v>3</v>
      </c>
      <c r="L12" s="371" t="s">
        <v>1088</v>
      </c>
      <c r="M12" s="371" t="s">
        <v>1089</v>
      </c>
      <c r="N12" s="372"/>
      <c r="O12" s="372"/>
    </row>
    <row r="13" spans="2:16">
      <c r="B13" s="354"/>
      <c r="C13" s="354"/>
      <c r="D13" s="354"/>
      <c r="E13" s="354"/>
      <c r="F13" s="354"/>
      <c r="G13" s="354"/>
      <c r="I13" s="354"/>
      <c r="J13" s="370">
        <v>0.41666666666666702</v>
      </c>
      <c r="K13" s="361">
        <v>4</v>
      </c>
      <c r="L13" s="371" t="s">
        <v>1090</v>
      </c>
      <c r="M13" s="371" t="s">
        <v>1091</v>
      </c>
      <c r="N13" s="372"/>
      <c r="O13" s="372"/>
    </row>
    <row r="14" spans="2:16">
      <c r="B14" s="354"/>
      <c r="F14" s="342"/>
      <c r="I14" s="354"/>
      <c r="J14" s="370">
        <v>0.43055555555555602</v>
      </c>
      <c r="K14" s="361">
        <v>5</v>
      </c>
      <c r="L14" s="371" t="s">
        <v>1092</v>
      </c>
      <c r="M14" s="371" t="s">
        <v>1093</v>
      </c>
      <c r="N14" s="372"/>
      <c r="O14" s="372"/>
    </row>
    <row r="15" spans="2:16" ht="17.25" customHeight="1">
      <c r="B15" s="378" t="s">
        <v>1072</v>
      </c>
      <c r="C15" s="378" t="s">
        <v>1073</v>
      </c>
      <c r="D15" s="512" t="s">
        <v>1074</v>
      </c>
      <c r="E15" s="512"/>
      <c r="F15" s="512"/>
      <c r="G15" s="512"/>
      <c r="I15" s="354"/>
      <c r="J15" s="370">
        <v>0.44444444444444398</v>
      </c>
      <c r="K15" s="361">
        <v>6</v>
      </c>
      <c r="L15" s="371" t="s">
        <v>1094</v>
      </c>
      <c r="M15" s="371" t="s">
        <v>1095</v>
      </c>
      <c r="N15" s="361"/>
      <c r="O15" s="361"/>
    </row>
    <row r="16" spans="2:16">
      <c r="B16" s="379" t="s">
        <v>1078</v>
      </c>
      <c r="C16" s="379" t="s">
        <v>1079</v>
      </c>
      <c r="D16" s="378" t="s">
        <v>424</v>
      </c>
      <c r="E16" s="378" t="s">
        <v>425</v>
      </c>
      <c r="F16" s="380"/>
      <c r="G16" s="378"/>
      <c r="I16" s="354"/>
      <c r="J16" s="513" t="s">
        <v>1096</v>
      </c>
      <c r="K16" s="513"/>
      <c r="L16" s="513"/>
      <c r="M16" s="513"/>
      <c r="N16" s="513"/>
      <c r="O16" s="513"/>
    </row>
    <row r="17" spans="2:16">
      <c r="B17" s="370">
        <v>0.58333333333333304</v>
      </c>
      <c r="C17" s="361">
        <v>1</v>
      </c>
      <c r="D17" s="371" t="s">
        <v>1097</v>
      </c>
      <c r="E17" s="371" t="s">
        <v>1098</v>
      </c>
      <c r="F17" s="372"/>
      <c r="G17" s="372"/>
      <c r="I17" s="354"/>
      <c r="J17" s="370">
        <v>0.5625</v>
      </c>
      <c r="K17" s="361">
        <v>7</v>
      </c>
      <c r="L17" s="371" t="s">
        <v>1099</v>
      </c>
      <c r="M17" s="371" t="s">
        <v>1100</v>
      </c>
      <c r="N17" s="372"/>
      <c r="O17" s="372"/>
    </row>
    <row r="18" spans="2:16">
      <c r="B18" s="370">
        <v>0.59722222222222199</v>
      </c>
      <c r="C18" s="361">
        <v>2</v>
      </c>
      <c r="D18" s="371" t="s">
        <v>1101</v>
      </c>
      <c r="E18" s="371" t="s">
        <v>1102</v>
      </c>
      <c r="F18" s="372"/>
      <c r="G18" s="372"/>
      <c r="I18" s="354"/>
      <c r="J18" s="370">
        <v>0.57638888888888895</v>
      </c>
      <c r="K18" s="361">
        <v>8</v>
      </c>
      <c r="L18" s="371" t="s">
        <v>1103</v>
      </c>
      <c r="M18" s="371" t="s">
        <v>1104</v>
      </c>
      <c r="N18" s="372"/>
      <c r="O18" s="372"/>
    </row>
    <row r="19" spans="2:16">
      <c r="B19" s="370">
        <v>0.61111111111111105</v>
      </c>
      <c r="C19" s="361">
        <v>3</v>
      </c>
      <c r="D19" s="371" t="s">
        <v>1105</v>
      </c>
      <c r="E19" s="371" t="s">
        <v>1106</v>
      </c>
      <c r="F19" s="361"/>
      <c r="G19" s="361"/>
      <c r="I19" s="354"/>
      <c r="J19" s="370">
        <v>0.59027777777777801</v>
      </c>
      <c r="K19" s="361">
        <v>9</v>
      </c>
      <c r="L19" s="371" t="s">
        <v>1107</v>
      </c>
      <c r="M19" s="371" t="s">
        <v>1108</v>
      </c>
      <c r="N19" s="372"/>
      <c r="O19" s="372"/>
    </row>
    <row r="20" spans="2:16">
      <c r="B20" s="370">
        <v>0.625</v>
      </c>
      <c r="C20" s="361">
        <v>4</v>
      </c>
      <c r="D20" s="371" t="s">
        <v>1109</v>
      </c>
      <c r="E20" s="371" t="s">
        <v>1110</v>
      </c>
      <c r="F20" s="361"/>
      <c r="G20" s="361"/>
      <c r="I20" s="354"/>
      <c r="J20" s="370">
        <v>0.60416666666666696</v>
      </c>
      <c r="K20" s="361">
        <v>10</v>
      </c>
      <c r="L20" s="371" t="s">
        <v>1111</v>
      </c>
      <c r="M20" s="371" t="s">
        <v>1112</v>
      </c>
      <c r="N20" s="361"/>
      <c r="O20" s="361"/>
    </row>
    <row r="21" spans="2:16">
      <c r="B21" s="370">
        <v>0.63888888888888895</v>
      </c>
      <c r="C21" s="361">
        <v>5</v>
      </c>
      <c r="D21" s="371" t="s">
        <v>1113</v>
      </c>
      <c r="E21" s="371" t="s">
        <v>1114</v>
      </c>
      <c r="F21" s="361"/>
      <c r="G21" s="361"/>
      <c r="I21" s="354"/>
      <c r="J21" s="370">
        <v>0.61805555555555602</v>
      </c>
      <c r="K21" s="361">
        <v>11</v>
      </c>
      <c r="L21" s="372"/>
      <c r="M21" s="371" t="s">
        <v>1115</v>
      </c>
      <c r="N21" s="361"/>
      <c r="O21" s="361"/>
    </row>
    <row r="22" spans="2:16">
      <c r="B22" s="370"/>
      <c r="C22" s="361"/>
      <c r="D22" s="372"/>
      <c r="E22" s="372"/>
      <c r="F22" s="361"/>
      <c r="G22" s="361"/>
      <c r="I22" s="354"/>
      <c r="J22" s="354"/>
      <c r="L22" s="342"/>
      <c r="M22" s="342"/>
    </row>
    <row r="23" spans="2:16">
      <c r="B23" s="368"/>
      <c r="C23" s="354"/>
      <c r="D23" s="381"/>
      <c r="E23" s="381"/>
      <c r="F23" s="354"/>
      <c r="G23" s="354"/>
      <c r="I23" s="354"/>
      <c r="J23" s="354"/>
      <c r="K23" s="345"/>
      <c r="L23" s="342"/>
      <c r="M23" s="342"/>
    </row>
    <row r="24" spans="2:16">
      <c r="B24" s="354"/>
      <c r="C24" s="354"/>
      <c r="D24" s="354"/>
      <c r="E24" s="354"/>
      <c r="F24" s="354"/>
      <c r="G24" s="354"/>
      <c r="I24" s="354"/>
      <c r="J24" s="354"/>
      <c r="K24" s="345"/>
      <c r="L24" s="342"/>
      <c r="M24" s="342"/>
    </row>
    <row r="25" spans="2:16">
      <c r="B25" s="354"/>
      <c r="C25" s="344"/>
      <c r="D25" s="354"/>
      <c r="E25" s="354"/>
      <c r="F25" s="354"/>
      <c r="G25" s="345"/>
      <c r="L25" s="342"/>
      <c r="M25" s="342"/>
    </row>
    <row r="26" spans="2:16">
      <c r="B26" s="343"/>
      <c r="E26" s="355" t="s">
        <v>1116</v>
      </c>
      <c r="F26" s="355"/>
      <c r="G26" s="343"/>
      <c r="I26" s="354"/>
      <c r="J26" s="343"/>
      <c r="L26" s="355" t="s">
        <v>1117</v>
      </c>
      <c r="M26" s="351"/>
      <c r="N26" s="351"/>
      <c r="P26" s="344"/>
    </row>
    <row r="27" spans="2:16" ht="17.45" customHeight="1">
      <c r="B27" s="354"/>
      <c r="C27" s="357" t="s">
        <v>1068</v>
      </c>
      <c r="D27" s="358" t="s">
        <v>1069</v>
      </c>
      <c r="E27" s="359" t="s">
        <v>1070</v>
      </c>
      <c r="F27" s="359" t="s">
        <v>1071</v>
      </c>
      <c r="G27" s="360"/>
      <c r="I27" s="354"/>
      <c r="J27" s="361" t="s">
        <v>1072</v>
      </c>
      <c r="K27" s="361" t="s">
        <v>1073</v>
      </c>
      <c r="L27" s="512" t="s">
        <v>1074</v>
      </c>
      <c r="M27" s="512"/>
      <c r="N27" s="512"/>
      <c r="O27" s="512"/>
      <c r="P27" s="342"/>
    </row>
    <row r="28" spans="2:16" ht="17.25" customHeight="1">
      <c r="B28" s="354"/>
      <c r="C28" s="362"/>
      <c r="D28" s="363" t="s">
        <v>1075</v>
      </c>
      <c r="E28" s="364" t="s">
        <v>1076</v>
      </c>
      <c r="F28" s="365" t="s">
        <v>1077</v>
      </c>
      <c r="G28" s="366"/>
      <c r="I28" s="354"/>
      <c r="J28" s="367" t="s">
        <v>1078</v>
      </c>
      <c r="K28" s="367" t="s">
        <v>1079</v>
      </c>
      <c r="L28" s="361" t="s">
        <v>424</v>
      </c>
      <c r="M28" s="361" t="s">
        <v>425</v>
      </c>
      <c r="N28" s="361"/>
      <c r="O28" s="361"/>
    </row>
    <row r="29" spans="2:16" ht="17.25" customHeight="1">
      <c r="B29" s="368"/>
      <c r="C29" s="362"/>
      <c r="D29" s="363" t="s">
        <v>1080</v>
      </c>
      <c r="E29" s="363" t="s">
        <v>1081</v>
      </c>
      <c r="F29" s="369" t="s">
        <v>598</v>
      </c>
      <c r="G29" s="366"/>
      <c r="I29" s="354"/>
      <c r="J29" s="382">
        <v>0.375</v>
      </c>
      <c r="K29" s="361">
        <v>1</v>
      </c>
      <c r="L29" s="371" t="s">
        <v>1118</v>
      </c>
      <c r="M29" s="371" t="s">
        <v>1119</v>
      </c>
      <c r="N29" s="383"/>
      <c r="O29" s="372"/>
    </row>
    <row r="30" spans="2:16" ht="18" customHeight="1">
      <c r="B30" s="354"/>
      <c r="C30" s="373"/>
      <c r="D30" s="374" t="s">
        <v>1084</v>
      </c>
      <c r="E30" s="375" t="s">
        <v>599</v>
      </c>
      <c r="F30" s="376" t="s">
        <v>1085</v>
      </c>
      <c r="G30" s="377"/>
      <c r="I30" s="354"/>
      <c r="J30" s="382">
        <v>0.38888888888888901</v>
      </c>
      <c r="K30" s="361">
        <v>2</v>
      </c>
      <c r="L30" s="371" t="s">
        <v>1120</v>
      </c>
      <c r="M30" s="371" t="s">
        <v>1121</v>
      </c>
      <c r="N30" s="372"/>
      <c r="O30" s="384"/>
    </row>
    <row r="31" spans="2:16" ht="18" customHeight="1">
      <c r="B31" s="354"/>
      <c r="C31" s="354"/>
      <c r="D31" s="354"/>
      <c r="E31" s="354"/>
      <c r="F31" s="354"/>
      <c r="G31" s="354"/>
      <c r="I31" s="354"/>
      <c r="J31" s="382">
        <v>0.40277777777777801</v>
      </c>
      <c r="K31" s="378">
        <v>3</v>
      </c>
      <c r="L31" s="385" t="s">
        <v>1122</v>
      </c>
      <c r="M31" s="385" t="s">
        <v>1123</v>
      </c>
      <c r="N31" s="386"/>
      <c r="O31" s="387"/>
    </row>
    <row r="32" spans="2:16" ht="17.25" customHeight="1">
      <c r="B32" s="354"/>
      <c r="C32" s="354"/>
      <c r="D32" s="354"/>
      <c r="E32" s="354"/>
      <c r="F32" s="354"/>
      <c r="G32" s="354"/>
      <c r="I32" s="354"/>
      <c r="J32" s="388">
        <v>0.41666666666666702</v>
      </c>
      <c r="K32" s="361">
        <v>4</v>
      </c>
      <c r="L32" s="371" t="s">
        <v>1124</v>
      </c>
      <c r="M32" s="371" t="s">
        <v>1125</v>
      </c>
      <c r="N32" s="372"/>
      <c r="O32" s="372"/>
    </row>
    <row r="33" spans="1:16" ht="17.25" customHeight="1">
      <c r="B33" s="354"/>
      <c r="F33" s="342"/>
      <c r="I33" s="354"/>
      <c r="J33" s="388">
        <v>0.43055555555555602</v>
      </c>
      <c r="K33" s="361">
        <v>5</v>
      </c>
      <c r="L33" s="371" t="s">
        <v>1126</v>
      </c>
      <c r="M33" s="371" t="s">
        <v>1127</v>
      </c>
      <c r="N33" s="372"/>
      <c r="O33" s="372"/>
    </row>
    <row r="34" spans="1:16" ht="17.100000000000001" customHeight="1">
      <c r="B34" s="361" t="s">
        <v>1072</v>
      </c>
      <c r="C34" s="361" t="s">
        <v>1073</v>
      </c>
      <c r="D34" s="512" t="s">
        <v>1074</v>
      </c>
      <c r="E34" s="512"/>
      <c r="F34" s="512"/>
      <c r="G34" s="512"/>
      <c r="I34" s="354"/>
      <c r="J34" s="389">
        <v>0.44444444444444398</v>
      </c>
      <c r="K34" s="361">
        <v>6</v>
      </c>
      <c r="L34" s="371" t="s">
        <v>1128</v>
      </c>
      <c r="M34" s="371" t="s">
        <v>1129</v>
      </c>
      <c r="N34" s="361"/>
      <c r="O34" s="361"/>
    </row>
    <row r="35" spans="1:16" ht="17.25" customHeight="1">
      <c r="B35" s="367" t="s">
        <v>1078</v>
      </c>
      <c r="C35" s="367" t="s">
        <v>1079</v>
      </c>
      <c r="D35" s="361" t="s">
        <v>424</v>
      </c>
      <c r="E35" s="361" t="s">
        <v>425</v>
      </c>
      <c r="F35" s="361"/>
      <c r="G35" s="361"/>
      <c r="I35" s="354"/>
      <c r="J35" s="514" t="s">
        <v>1096</v>
      </c>
      <c r="K35" s="514"/>
      <c r="L35" s="514"/>
      <c r="M35" s="514"/>
      <c r="N35" s="514"/>
      <c r="O35" s="514"/>
    </row>
    <row r="36" spans="1:16" ht="17.25" customHeight="1">
      <c r="B36" s="370">
        <v>0.58333333333333304</v>
      </c>
      <c r="C36" s="361">
        <v>1</v>
      </c>
      <c r="D36" s="371" t="s">
        <v>1130</v>
      </c>
      <c r="E36" s="371" t="s">
        <v>1131</v>
      </c>
      <c r="F36" s="372"/>
      <c r="G36" s="372"/>
      <c r="I36" s="354"/>
      <c r="J36" s="370">
        <v>0.5625</v>
      </c>
      <c r="K36" s="361">
        <v>7</v>
      </c>
      <c r="L36" s="371" t="s">
        <v>1132</v>
      </c>
      <c r="M36" s="371" t="s">
        <v>1133</v>
      </c>
      <c r="N36" s="372"/>
      <c r="O36" s="372"/>
    </row>
    <row r="37" spans="1:16" ht="17.25" customHeight="1">
      <c r="B37" s="370">
        <v>0.59722222222222199</v>
      </c>
      <c r="C37" s="361">
        <v>2</v>
      </c>
      <c r="D37" s="371" t="s">
        <v>1134</v>
      </c>
      <c r="E37" s="371" t="s">
        <v>1135</v>
      </c>
      <c r="F37" s="372"/>
      <c r="G37" s="372"/>
      <c r="I37" s="354"/>
      <c r="J37" s="370">
        <v>0.57638888888888895</v>
      </c>
      <c r="K37" s="361">
        <v>8</v>
      </c>
      <c r="L37" s="371" t="s">
        <v>1136</v>
      </c>
      <c r="M37" s="371" t="s">
        <v>1137</v>
      </c>
      <c r="N37" s="372"/>
      <c r="O37" s="372"/>
    </row>
    <row r="38" spans="1:16" ht="17.25" customHeight="1">
      <c r="B38" s="370">
        <v>0.61111111111111105</v>
      </c>
      <c r="C38" s="361">
        <v>3</v>
      </c>
      <c r="D38" s="371" t="s">
        <v>1138</v>
      </c>
      <c r="E38" s="371" t="s">
        <v>1139</v>
      </c>
      <c r="F38" s="361"/>
      <c r="G38" s="361"/>
      <c r="I38" s="354"/>
      <c r="J38" s="370">
        <v>0.59027777777777801</v>
      </c>
      <c r="K38" s="361">
        <v>9</v>
      </c>
      <c r="L38" s="371" t="s">
        <v>1140</v>
      </c>
      <c r="M38" s="371" t="s">
        <v>1141</v>
      </c>
      <c r="N38" s="372"/>
      <c r="O38" s="372"/>
    </row>
    <row r="39" spans="1:16" ht="17.25" customHeight="1">
      <c r="B39" s="370">
        <v>0.625</v>
      </c>
      <c r="C39" s="361">
        <v>4</v>
      </c>
      <c r="D39" s="371" t="s">
        <v>1142</v>
      </c>
      <c r="E39" s="371" t="s">
        <v>1143</v>
      </c>
      <c r="F39" s="361"/>
      <c r="G39" s="361"/>
      <c r="I39" s="354"/>
      <c r="J39" s="370">
        <v>0.60416666666666696</v>
      </c>
      <c r="K39" s="361">
        <v>10</v>
      </c>
      <c r="L39" s="371" t="s">
        <v>1144</v>
      </c>
      <c r="M39" s="371" t="s">
        <v>1145</v>
      </c>
      <c r="N39" s="361"/>
      <c r="O39" s="361"/>
    </row>
    <row r="40" spans="1:16" ht="16.5" customHeight="1">
      <c r="B40" s="370">
        <v>0.63888888888888895</v>
      </c>
      <c r="C40" s="361">
        <v>5</v>
      </c>
      <c r="D40" s="371" t="s">
        <v>1146</v>
      </c>
      <c r="E40" s="371" t="s">
        <v>1147</v>
      </c>
      <c r="F40" s="361"/>
      <c r="G40" s="361"/>
      <c r="I40" s="354"/>
      <c r="J40" s="370">
        <v>0.61805555555555602</v>
      </c>
      <c r="K40" s="361">
        <v>11</v>
      </c>
      <c r="L40" s="371" t="s">
        <v>1148</v>
      </c>
      <c r="M40" s="371" t="s">
        <v>1149</v>
      </c>
      <c r="N40" s="361"/>
      <c r="O40" s="361"/>
    </row>
    <row r="41" spans="1:16" ht="17.25" customHeight="1">
      <c r="B41" s="370"/>
      <c r="C41" s="361"/>
      <c r="D41" s="372"/>
      <c r="E41" s="372"/>
      <c r="F41" s="361"/>
      <c r="G41" s="361"/>
      <c r="I41" s="354"/>
      <c r="J41" s="354"/>
      <c r="L41" s="342"/>
      <c r="M41" s="342"/>
      <c r="P41" s="344"/>
    </row>
    <row r="42" spans="1:16">
      <c r="B42" s="368"/>
      <c r="C42" s="354"/>
      <c r="D42" s="381"/>
      <c r="E42" s="381"/>
      <c r="F42" s="354"/>
      <c r="G42" s="354"/>
      <c r="I42" s="354"/>
      <c r="J42" s="354"/>
      <c r="K42" s="345"/>
      <c r="L42" s="342"/>
      <c r="M42" s="342"/>
    </row>
    <row r="43" spans="1:16">
      <c r="B43" s="368"/>
      <c r="C43" s="354"/>
      <c r="D43" s="381"/>
      <c r="E43" s="381"/>
      <c r="F43" s="354"/>
      <c r="G43" s="354"/>
      <c r="I43" s="354"/>
      <c r="J43" s="354"/>
      <c r="K43" s="345"/>
      <c r="L43" s="342"/>
      <c r="M43" s="342"/>
    </row>
    <row r="44" spans="1:16">
      <c r="B44" s="354"/>
      <c r="C44" s="344"/>
      <c r="D44" s="354"/>
      <c r="E44" s="354"/>
      <c r="F44" s="354"/>
      <c r="G44" s="345"/>
      <c r="L44" s="342"/>
      <c r="M44" s="342"/>
    </row>
    <row r="45" spans="1:16" s="342" customFormat="1">
      <c r="A45" s="342" t="s">
        <v>1150</v>
      </c>
      <c r="B45" s="343"/>
      <c r="C45" s="343"/>
      <c r="D45" s="343"/>
      <c r="E45" s="355" t="s">
        <v>1151</v>
      </c>
      <c r="F45" s="355"/>
      <c r="G45" s="343"/>
      <c r="H45" s="344"/>
      <c r="I45" s="354"/>
      <c r="J45" s="343"/>
      <c r="L45" s="355" t="s">
        <v>1152</v>
      </c>
      <c r="M45" s="355"/>
      <c r="N45" s="355"/>
      <c r="P45" s="344"/>
    </row>
    <row r="46" spans="1:16" s="342" customFormat="1">
      <c r="B46" s="354"/>
      <c r="C46" s="357" t="s">
        <v>1068</v>
      </c>
      <c r="D46" s="358" t="s">
        <v>1069</v>
      </c>
      <c r="E46" s="359" t="s">
        <v>1070</v>
      </c>
      <c r="F46" s="359" t="s">
        <v>1071</v>
      </c>
      <c r="G46" s="360"/>
      <c r="H46" s="344"/>
      <c r="I46" s="354"/>
      <c r="J46" s="378" t="s">
        <v>1072</v>
      </c>
      <c r="K46" s="378" t="s">
        <v>1073</v>
      </c>
      <c r="L46" s="515" t="s">
        <v>1074</v>
      </c>
      <c r="M46" s="515"/>
      <c r="N46" s="515"/>
      <c r="O46" s="515"/>
      <c r="P46" s="346"/>
    </row>
    <row r="47" spans="1:16" s="342" customFormat="1">
      <c r="B47" s="354"/>
      <c r="C47" s="362"/>
      <c r="D47" s="363" t="s">
        <v>1075</v>
      </c>
      <c r="E47" s="364" t="s">
        <v>1076</v>
      </c>
      <c r="F47" s="365" t="s">
        <v>1077</v>
      </c>
      <c r="G47" s="366"/>
      <c r="H47" s="344"/>
      <c r="I47" s="354"/>
      <c r="J47" s="390" t="s">
        <v>1078</v>
      </c>
      <c r="K47" s="390" t="s">
        <v>1079</v>
      </c>
      <c r="L47" s="391" t="s">
        <v>424</v>
      </c>
      <c r="M47" s="361" t="s">
        <v>425</v>
      </c>
      <c r="N47" s="392"/>
      <c r="O47" s="392"/>
      <c r="P47" s="346"/>
    </row>
    <row r="48" spans="1:16" s="342" customFormat="1">
      <c r="B48" s="368"/>
      <c r="C48" s="362"/>
      <c r="D48" s="363" t="s">
        <v>1080</v>
      </c>
      <c r="E48" s="363" t="s">
        <v>1081</v>
      </c>
      <c r="F48" s="369" t="s">
        <v>598</v>
      </c>
      <c r="G48" s="366"/>
      <c r="H48" s="344"/>
      <c r="I48" s="354"/>
      <c r="J48" s="382">
        <v>0.375</v>
      </c>
      <c r="K48" s="361">
        <v>1</v>
      </c>
      <c r="L48" s="371" t="s">
        <v>1153</v>
      </c>
      <c r="M48" s="371" t="s">
        <v>1154</v>
      </c>
      <c r="N48" s="393"/>
      <c r="O48" s="372"/>
      <c r="P48" s="346"/>
    </row>
    <row r="49" spans="2:16" s="342" customFormat="1">
      <c r="B49" s="354"/>
      <c r="C49" s="373"/>
      <c r="D49" s="374" t="s">
        <v>1084</v>
      </c>
      <c r="E49" s="375" t="s">
        <v>599</v>
      </c>
      <c r="F49" s="376" t="s">
        <v>1085</v>
      </c>
      <c r="G49" s="377"/>
      <c r="H49" s="344"/>
      <c r="I49" s="354"/>
      <c r="J49" s="382">
        <v>0.38888888888888901</v>
      </c>
      <c r="K49" s="361">
        <v>2</v>
      </c>
      <c r="L49" s="371" t="s">
        <v>1155</v>
      </c>
      <c r="M49" s="371" t="s">
        <v>1156</v>
      </c>
      <c r="N49" s="372"/>
      <c r="O49" s="384"/>
      <c r="P49" s="346"/>
    </row>
    <row r="50" spans="2:16" s="342" customFormat="1">
      <c r="B50" s="354"/>
      <c r="C50" s="354"/>
      <c r="D50" s="354"/>
      <c r="E50" s="354"/>
      <c r="F50" s="354"/>
      <c r="G50" s="354"/>
      <c r="H50" s="344"/>
      <c r="I50" s="354"/>
      <c r="J50" s="382">
        <v>0.40277777777777801</v>
      </c>
      <c r="K50" s="361">
        <v>3</v>
      </c>
      <c r="L50" s="371" t="s">
        <v>1157</v>
      </c>
      <c r="M50" s="371" t="s">
        <v>1158</v>
      </c>
      <c r="N50" s="372"/>
      <c r="O50" s="384"/>
      <c r="P50" s="346"/>
    </row>
    <row r="51" spans="2:16" s="342" customFormat="1">
      <c r="B51" s="354"/>
      <c r="C51" s="354"/>
      <c r="D51" s="354"/>
      <c r="E51" s="354"/>
      <c r="F51" s="354"/>
      <c r="G51" s="354"/>
      <c r="H51" s="344"/>
      <c r="I51" s="354"/>
      <c r="J51" s="382">
        <v>0.41666666666666702</v>
      </c>
      <c r="K51" s="378">
        <v>4</v>
      </c>
      <c r="L51" s="371" t="s">
        <v>1159</v>
      </c>
      <c r="M51" s="371" t="s">
        <v>1160</v>
      </c>
      <c r="N51" s="372"/>
      <c r="O51" s="384"/>
      <c r="P51" s="346"/>
    </row>
    <row r="52" spans="2:16" s="342" customFormat="1">
      <c r="B52" s="354"/>
      <c r="C52" s="343"/>
      <c r="D52" s="343"/>
      <c r="E52" s="343"/>
      <c r="H52" s="344"/>
      <c r="I52" s="354"/>
      <c r="J52" s="370"/>
      <c r="K52" s="361"/>
      <c r="L52" s="361"/>
      <c r="M52" s="384"/>
      <c r="N52" s="372"/>
      <c r="O52" s="384"/>
      <c r="P52" s="346"/>
    </row>
    <row r="53" spans="2:16" s="342" customFormat="1" ht="17.25" customHeight="1">
      <c r="B53" s="378" t="s">
        <v>1072</v>
      </c>
      <c r="C53" s="378" t="s">
        <v>1073</v>
      </c>
      <c r="D53" s="515" t="s">
        <v>1074</v>
      </c>
      <c r="E53" s="515"/>
      <c r="F53" s="515"/>
      <c r="G53" s="515"/>
      <c r="H53" s="344"/>
      <c r="I53" s="354"/>
      <c r="J53" s="513" t="s">
        <v>1096</v>
      </c>
      <c r="K53" s="513"/>
      <c r="L53" s="513"/>
      <c r="M53" s="513"/>
      <c r="N53" s="513"/>
      <c r="O53" s="513"/>
      <c r="P53" s="346"/>
    </row>
    <row r="54" spans="2:16" s="342" customFormat="1">
      <c r="B54" s="390" t="s">
        <v>1078</v>
      </c>
      <c r="C54" s="394" t="s">
        <v>1079</v>
      </c>
      <c r="D54" s="361" t="s">
        <v>424</v>
      </c>
      <c r="E54" s="361" t="s">
        <v>425</v>
      </c>
      <c r="F54" s="361"/>
      <c r="G54" s="392"/>
      <c r="H54" s="344"/>
      <c r="I54" s="354"/>
      <c r="J54" s="382">
        <v>0.5625</v>
      </c>
      <c r="K54" s="361">
        <v>5</v>
      </c>
      <c r="L54" s="371" t="s">
        <v>1161</v>
      </c>
      <c r="M54" s="371" t="s">
        <v>1162</v>
      </c>
      <c r="N54" s="372"/>
      <c r="O54" s="384"/>
      <c r="P54" s="346"/>
    </row>
    <row r="55" spans="2:16" s="342" customFormat="1">
      <c r="B55" s="370">
        <v>0.58333333333333304</v>
      </c>
      <c r="C55" s="361">
        <v>1</v>
      </c>
      <c r="D55" s="371" t="s">
        <v>1068</v>
      </c>
      <c r="E55" s="371" t="s">
        <v>1163</v>
      </c>
      <c r="F55" s="372"/>
      <c r="G55" s="384"/>
      <c r="H55" s="344"/>
      <c r="I55" s="354"/>
      <c r="J55" s="382">
        <v>0.57638888888888895</v>
      </c>
      <c r="K55" s="361">
        <v>6</v>
      </c>
      <c r="L55" s="371" t="s">
        <v>1164</v>
      </c>
      <c r="M55" s="371" t="s">
        <v>1165</v>
      </c>
      <c r="N55" s="386"/>
      <c r="O55" s="387"/>
      <c r="P55" s="346"/>
    </row>
    <row r="56" spans="2:16" s="342" customFormat="1">
      <c r="B56" s="370">
        <v>0.59722222222222199</v>
      </c>
      <c r="C56" s="361">
        <v>2</v>
      </c>
      <c r="D56" s="371" t="s">
        <v>1166</v>
      </c>
      <c r="E56" s="371" t="s">
        <v>1167</v>
      </c>
      <c r="F56" s="372"/>
      <c r="G56" s="384"/>
      <c r="H56" s="344"/>
      <c r="I56" s="354"/>
      <c r="J56" s="382">
        <v>0.59027777777777801</v>
      </c>
      <c r="K56" s="361">
        <v>7</v>
      </c>
      <c r="L56" s="371" t="s">
        <v>1168</v>
      </c>
      <c r="M56" s="371" t="s">
        <v>1169</v>
      </c>
      <c r="N56" s="383"/>
      <c r="O56" s="383"/>
      <c r="P56" s="346"/>
    </row>
    <row r="57" spans="2:16" s="342" customFormat="1">
      <c r="B57" s="370">
        <v>0.61111111111111105</v>
      </c>
      <c r="C57" s="361">
        <v>3</v>
      </c>
      <c r="D57" s="371" t="s">
        <v>1170</v>
      </c>
      <c r="E57" s="371" t="s">
        <v>1171</v>
      </c>
      <c r="F57" s="361"/>
      <c r="G57" s="392"/>
      <c r="H57" s="344"/>
      <c r="I57" s="354"/>
      <c r="J57" s="370">
        <v>0.60416666666666696</v>
      </c>
      <c r="K57" s="361">
        <v>8</v>
      </c>
      <c r="L57" s="371" t="s">
        <v>1172</v>
      </c>
      <c r="M57" s="371" t="s">
        <v>1173</v>
      </c>
      <c r="N57" s="383"/>
      <c r="O57" s="383"/>
      <c r="P57" s="346"/>
    </row>
    <row r="58" spans="2:16" s="342" customFormat="1">
      <c r="B58" s="370">
        <v>0.625</v>
      </c>
      <c r="C58" s="361">
        <v>4</v>
      </c>
      <c r="D58" s="371" t="s">
        <v>1174</v>
      </c>
      <c r="E58" s="371" t="s">
        <v>1175</v>
      </c>
      <c r="F58" s="361"/>
      <c r="G58" s="392"/>
      <c r="H58" s="344"/>
      <c r="I58" s="354"/>
      <c r="J58" s="370"/>
      <c r="K58" s="361"/>
      <c r="L58" s="372"/>
      <c r="M58" s="372"/>
      <c r="N58" s="395"/>
      <c r="O58" s="395"/>
      <c r="P58" s="346"/>
    </row>
    <row r="59" spans="2:16">
      <c r="B59" s="370"/>
      <c r="C59" s="391"/>
      <c r="D59" s="361"/>
      <c r="E59" s="372"/>
      <c r="F59" s="361"/>
      <c r="G59" s="392"/>
      <c r="I59" s="354"/>
      <c r="J59" s="354"/>
      <c r="L59" s="342"/>
      <c r="M59" s="342"/>
    </row>
    <row r="60" spans="2:16">
      <c r="B60" s="370"/>
      <c r="C60" s="391"/>
      <c r="D60" s="361"/>
      <c r="E60" s="372"/>
      <c r="F60" s="361"/>
      <c r="G60" s="392"/>
      <c r="I60" s="354"/>
      <c r="J60" s="354"/>
      <c r="L60" s="342"/>
      <c r="M60" s="342"/>
    </row>
    <row r="61" spans="2:16">
      <c r="B61" s="354"/>
      <c r="C61" s="344"/>
      <c r="D61" s="354"/>
      <c r="E61" s="354"/>
      <c r="F61" s="354"/>
      <c r="G61" s="354"/>
      <c r="L61" s="342"/>
      <c r="M61" s="342"/>
    </row>
    <row r="62" spans="2:16">
      <c r="B62" s="354"/>
      <c r="C62" s="344"/>
      <c r="D62" s="354"/>
      <c r="E62" s="354"/>
      <c r="F62" s="354"/>
      <c r="G62" s="345"/>
      <c r="I62" s="354"/>
      <c r="L62" s="342"/>
      <c r="M62" s="342"/>
    </row>
    <row r="63" spans="2:16" ht="17.25" customHeight="1"/>
    <row r="64" spans="2:16">
      <c r="B64" s="343"/>
      <c r="E64" s="355" t="s">
        <v>1176</v>
      </c>
      <c r="F64" s="355"/>
      <c r="G64" s="343"/>
      <c r="I64" s="354"/>
      <c r="J64" s="343"/>
      <c r="L64" s="355" t="s">
        <v>1177</v>
      </c>
      <c r="M64" s="351"/>
      <c r="N64" s="351"/>
      <c r="P64" s="344"/>
    </row>
    <row r="65" spans="2:15">
      <c r="B65" s="354"/>
      <c r="C65" s="357" t="s">
        <v>1068</v>
      </c>
      <c r="D65" s="358" t="s">
        <v>1069</v>
      </c>
      <c r="E65" s="359" t="s">
        <v>1070</v>
      </c>
      <c r="F65" s="359" t="s">
        <v>1071</v>
      </c>
      <c r="G65" s="360"/>
      <c r="I65" s="354"/>
      <c r="J65" s="378" t="s">
        <v>1072</v>
      </c>
      <c r="K65" s="396" t="s">
        <v>1073</v>
      </c>
      <c r="L65" s="512" t="s">
        <v>1074</v>
      </c>
      <c r="M65" s="512"/>
      <c r="N65" s="512"/>
      <c r="O65" s="512"/>
    </row>
    <row r="66" spans="2:15">
      <c r="B66" s="354"/>
      <c r="C66" s="362"/>
      <c r="D66" s="363" t="s">
        <v>1075</v>
      </c>
      <c r="E66" s="364" t="s">
        <v>1076</v>
      </c>
      <c r="F66" s="365" t="s">
        <v>1077</v>
      </c>
      <c r="G66" s="366"/>
      <c r="I66" s="354"/>
      <c r="J66" s="390" t="s">
        <v>1078</v>
      </c>
      <c r="K66" s="390" t="s">
        <v>1079</v>
      </c>
      <c r="L66" s="397" t="s">
        <v>424</v>
      </c>
      <c r="M66" s="398" t="s">
        <v>425</v>
      </c>
      <c r="N66" s="395"/>
      <c r="O66" s="399"/>
    </row>
    <row r="67" spans="2:15">
      <c r="B67" s="368"/>
      <c r="C67" s="362"/>
      <c r="D67" s="363" t="s">
        <v>1080</v>
      </c>
      <c r="E67" s="363" t="s">
        <v>1081</v>
      </c>
      <c r="F67" s="369" t="s">
        <v>598</v>
      </c>
      <c r="G67" s="366"/>
      <c r="I67" s="354"/>
      <c r="J67" s="382">
        <v>0.375</v>
      </c>
      <c r="K67" s="361">
        <v>1</v>
      </c>
      <c r="L67" s="371" t="s">
        <v>1178</v>
      </c>
      <c r="M67" s="371" t="s">
        <v>1179</v>
      </c>
      <c r="N67" s="383"/>
      <c r="O67" s="372"/>
    </row>
    <row r="68" spans="2:15">
      <c r="B68" s="354"/>
      <c r="C68" s="373"/>
      <c r="D68" s="374" t="s">
        <v>1084</v>
      </c>
      <c r="E68" s="375" t="s">
        <v>599</v>
      </c>
      <c r="F68" s="376" t="s">
        <v>1085</v>
      </c>
      <c r="G68" s="377"/>
      <c r="I68" s="354"/>
      <c r="J68" s="382">
        <v>0.38888888888888901</v>
      </c>
      <c r="K68" s="361">
        <v>2</v>
      </c>
      <c r="L68" s="371" t="s">
        <v>1180</v>
      </c>
      <c r="M68" s="371" t="s">
        <v>1181</v>
      </c>
      <c r="N68" s="372"/>
      <c r="O68" s="384"/>
    </row>
    <row r="69" spans="2:15" ht="16.5" customHeight="1">
      <c r="B69" s="354"/>
      <c r="C69" s="354"/>
      <c r="D69" s="354"/>
      <c r="E69" s="354"/>
      <c r="F69" s="354"/>
      <c r="G69" s="354"/>
      <c r="I69" s="354"/>
      <c r="J69" s="382">
        <v>0.40277777777777801</v>
      </c>
      <c r="K69" s="361">
        <v>3</v>
      </c>
      <c r="L69" s="371" t="s">
        <v>1182</v>
      </c>
      <c r="M69" s="371" t="s">
        <v>1183</v>
      </c>
      <c r="N69" s="372"/>
      <c r="O69" s="384"/>
    </row>
    <row r="70" spans="2:15">
      <c r="B70" s="354"/>
      <c r="C70" s="354"/>
      <c r="D70" s="354"/>
      <c r="E70" s="354"/>
      <c r="F70" s="354"/>
      <c r="G70" s="354"/>
      <c r="I70" s="354"/>
      <c r="J70" s="382">
        <v>0.41666666666666702</v>
      </c>
      <c r="K70" s="378">
        <v>4</v>
      </c>
      <c r="L70" s="371" t="s">
        <v>1184</v>
      </c>
      <c r="M70" s="371" t="s">
        <v>1185</v>
      </c>
      <c r="N70" s="372"/>
      <c r="O70" s="384"/>
    </row>
    <row r="71" spans="2:15" ht="17.25" customHeight="1">
      <c r="B71" s="354"/>
      <c r="F71" s="342"/>
      <c r="I71" s="354"/>
      <c r="J71" s="370"/>
      <c r="K71" s="361"/>
      <c r="L71" s="361"/>
      <c r="M71" s="384"/>
      <c r="N71" s="372"/>
      <c r="O71" s="384"/>
    </row>
    <row r="72" spans="2:15">
      <c r="B72" s="378" t="s">
        <v>1072</v>
      </c>
      <c r="C72" s="378" t="s">
        <v>1073</v>
      </c>
      <c r="D72" s="515" t="s">
        <v>1074</v>
      </c>
      <c r="E72" s="515"/>
      <c r="F72" s="515"/>
      <c r="G72" s="515"/>
      <c r="I72" s="354"/>
      <c r="J72" s="513" t="s">
        <v>1096</v>
      </c>
      <c r="K72" s="513"/>
      <c r="L72" s="513"/>
      <c r="M72" s="513"/>
      <c r="N72" s="513"/>
      <c r="O72" s="513"/>
    </row>
    <row r="73" spans="2:15">
      <c r="B73" s="390" t="s">
        <v>1078</v>
      </c>
      <c r="C73" s="394" t="s">
        <v>1079</v>
      </c>
      <c r="D73" s="361" t="s">
        <v>424</v>
      </c>
      <c r="E73" s="361" t="s">
        <v>425</v>
      </c>
      <c r="F73" s="361"/>
      <c r="G73" s="392"/>
      <c r="I73" s="354"/>
      <c r="J73" s="382">
        <v>0.5625</v>
      </c>
      <c r="K73" s="361">
        <v>5</v>
      </c>
      <c r="L73" s="371" t="s">
        <v>1186</v>
      </c>
      <c r="M73" s="371" t="s">
        <v>1187</v>
      </c>
      <c r="N73" s="372"/>
      <c r="O73" s="384"/>
    </row>
    <row r="74" spans="2:15">
      <c r="B74" s="370">
        <v>0.58333333333333304</v>
      </c>
      <c r="C74" s="361">
        <v>1</v>
      </c>
      <c r="D74" s="371" t="s">
        <v>1188</v>
      </c>
      <c r="E74" s="371" t="s">
        <v>1189</v>
      </c>
      <c r="F74" s="372"/>
      <c r="G74" s="384"/>
      <c r="I74" s="354"/>
      <c r="J74" s="382">
        <v>0.57638888888888895</v>
      </c>
      <c r="K74" s="361">
        <v>6</v>
      </c>
      <c r="L74" s="371" t="s">
        <v>1190</v>
      </c>
      <c r="M74" s="371" t="s">
        <v>1191</v>
      </c>
      <c r="N74" s="372"/>
      <c r="O74" s="384"/>
    </row>
    <row r="75" spans="2:15">
      <c r="B75" s="370">
        <v>0.59722222222222199</v>
      </c>
      <c r="C75" s="361">
        <v>2</v>
      </c>
      <c r="D75" s="371" t="s">
        <v>1192</v>
      </c>
      <c r="E75" s="371" t="s">
        <v>1193</v>
      </c>
      <c r="F75" s="372"/>
      <c r="G75" s="384"/>
      <c r="I75" s="354"/>
      <c r="J75" s="382">
        <v>0.59027777777777801</v>
      </c>
      <c r="K75" s="361">
        <v>7</v>
      </c>
      <c r="L75" s="371" t="s">
        <v>1194</v>
      </c>
      <c r="M75" s="371" t="s">
        <v>1195</v>
      </c>
      <c r="N75" s="372"/>
      <c r="O75" s="384"/>
    </row>
    <row r="76" spans="2:15">
      <c r="B76" s="370">
        <v>0.61111111111111105</v>
      </c>
      <c r="C76" s="361">
        <v>3</v>
      </c>
      <c r="D76" s="371" t="s">
        <v>1196</v>
      </c>
      <c r="E76" s="371" t="s">
        <v>1197</v>
      </c>
      <c r="F76" s="361"/>
      <c r="G76" s="392"/>
      <c r="I76" s="354"/>
      <c r="J76" s="370">
        <v>0.60416666666666696</v>
      </c>
      <c r="K76" s="361">
        <v>8</v>
      </c>
      <c r="L76" s="371" t="s">
        <v>1198</v>
      </c>
      <c r="M76" s="371" t="s">
        <v>1199</v>
      </c>
      <c r="N76" s="361"/>
      <c r="O76" s="361"/>
    </row>
    <row r="77" spans="2:15">
      <c r="B77" s="370">
        <v>0.625</v>
      </c>
      <c r="C77" s="361">
        <v>4</v>
      </c>
      <c r="D77" s="371" t="s">
        <v>1200</v>
      </c>
      <c r="E77" s="371" t="s">
        <v>1201</v>
      </c>
      <c r="F77" s="361"/>
      <c r="G77" s="392"/>
      <c r="I77" s="354"/>
      <c r="J77" s="370"/>
      <c r="K77" s="361"/>
      <c r="L77" s="372"/>
      <c r="M77" s="372"/>
      <c r="N77" s="361"/>
      <c r="O77" s="361"/>
    </row>
    <row r="78" spans="2:15">
      <c r="B78" s="370"/>
      <c r="C78" s="361"/>
      <c r="D78" s="400"/>
      <c r="E78" s="400"/>
      <c r="F78" s="395"/>
      <c r="G78" s="361"/>
      <c r="I78" s="354"/>
      <c r="J78" s="354"/>
      <c r="L78" s="342"/>
      <c r="M78" s="342"/>
    </row>
    <row r="79" spans="2:15">
      <c r="B79" s="370"/>
      <c r="C79" s="361"/>
      <c r="D79" s="372"/>
      <c r="E79" s="372"/>
      <c r="F79" s="361"/>
      <c r="G79" s="361"/>
      <c r="I79" s="354"/>
      <c r="J79" s="354"/>
      <c r="L79" s="342"/>
      <c r="M79" s="342"/>
    </row>
    <row r="80" spans="2:15">
      <c r="C80" s="344"/>
      <c r="D80" s="354"/>
      <c r="E80" s="354"/>
      <c r="F80" s="354"/>
      <c r="G80" s="345"/>
      <c r="L80" s="342"/>
      <c r="M80" s="342"/>
    </row>
    <row r="81" spans="2:15">
      <c r="B81" s="354"/>
      <c r="C81" s="344"/>
      <c r="D81" s="354"/>
      <c r="E81" s="354"/>
      <c r="F81" s="354"/>
      <c r="G81" s="345"/>
      <c r="L81" s="342"/>
      <c r="M81" s="342"/>
    </row>
    <row r="82" spans="2:15" ht="17.25" customHeight="1"/>
    <row r="83" spans="2:15">
      <c r="B83" s="343"/>
      <c r="E83" s="355" t="s">
        <v>1202</v>
      </c>
      <c r="F83" s="355"/>
      <c r="G83" s="343"/>
      <c r="I83" s="354"/>
      <c r="J83" s="343"/>
      <c r="L83" s="355" t="s">
        <v>1203</v>
      </c>
      <c r="M83" s="351"/>
      <c r="N83" s="351"/>
    </row>
    <row r="84" spans="2:15">
      <c r="B84" s="354"/>
      <c r="C84" s="357" t="s">
        <v>1068</v>
      </c>
      <c r="D84" s="358" t="s">
        <v>1069</v>
      </c>
      <c r="E84" s="359" t="s">
        <v>1070</v>
      </c>
      <c r="F84" s="359" t="s">
        <v>1071</v>
      </c>
      <c r="G84" s="360"/>
      <c r="I84" s="354"/>
      <c r="J84" s="378" t="s">
        <v>1072</v>
      </c>
      <c r="K84" s="396" t="s">
        <v>1073</v>
      </c>
      <c r="L84" s="512" t="s">
        <v>1074</v>
      </c>
      <c r="M84" s="512"/>
      <c r="N84" s="512"/>
      <c r="O84" s="512"/>
    </row>
    <row r="85" spans="2:15">
      <c r="B85" s="354"/>
      <c r="C85" s="362"/>
      <c r="D85" s="363" t="s">
        <v>1075</v>
      </c>
      <c r="E85" s="364" t="s">
        <v>1076</v>
      </c>
      <c r="F85" s="365" t="s">
        <v>1077</v>
      </c>
      <c r="G85" s="366"/>
      <c r="I85" s="354"/>
      <c r="J85" s="390" t="s">
        <v>1078</v>
      </c>
      <c r="K85" s="390" t="s">
        <v>1079</v>
      </c>
      <c r="L85" s="397" t="s">
        <v>424</v>
      </c>
      <c r="M85" s="398" t="s">
        <v>425</v>
      </c>
      <c r="N85" s="395"/>
      <c r="O85" s="399"/>
    </row>
    <row r="86" spans="2:15">
      <c r="B86" s="368"/>
      <c r="C86" s="362"/>
      <c r="D86" s="363" t="s">
        <v>1080</v>
      </c>
      <c r="E86" s="363" t="s">
        <v>1081</v>
      </c>
      <c r="F86" s="369" t="s">
        <v>598</v>
      </c>
      <c r="G86" s="366"/>
      <c r="I86" s="354"/>
      <c r="J86" s="382">
        <v>0.375</v>
      </c>
      <c r="K86" s="361">
        <v>1</v>
      </c>
      <c r="L86" s="371" t="s">
        <v>1204</v>
      </c>
      <c r="M86" s="371" t="s">
        <v>1205</v>
      </c>
      <c r="N86" s="383"/>
      <c r="O86" s="372"/>
    </row>
    <row r="87" spans="2:15">
      <c r="B87" s="354"/>
      <c r="C87" s="373"/>
      <c r="D87" s="374" t="s">
        <v>1084</v>
      </c>
      <c r="E87" s="375" t="s">
        <v>599</v>
      </c>
      <c r="F87" s="376" t="s">
        <v>1085</v>
      </c>
      <c r="G87" s="377"/>
      <c r="I87" s="354"/>
      <c r="J87" s="382">
        <v>0.38888888888888901</v>
      </c>
      <c r="K87" s="361">
        <v>2</v>
      </c>
      <c r="L87" s="371" t="s">
        <v>1206</v>
      </c>
      <c r="M87" s="371" t="s">
        <v>1207</v>
      </c>
      <c r="N87" s="372"/>
      <c r="O87" s="384"/>
    </row>
    <row r="88" spans="2:15" ht="16.5" customHeight="1">
      <c r="B88" s="354"/>
      <c r="C88" s="354"/>
      <c r="D88" s="354"/>
      <c r="E88" s="354"/>
      <c r="F88" s="354"/>
      <c r="G88" s="354"/>
      <c r="I88" s="354"/>
      <c r="J88" s="382">
        <v>0.40277777777777801</v>
      </c>
      <c r="K88" s="361">
        <v>3</v>
      </c>
      <c r="L88" s="371" t="s">
        <v>1208</v>
      </c>
      <c r="M88" s="371" t="s">
        <v>1209</v>
      </c>
      <c r="N88" s="372"/>
      <c r="O88" s="384"/>
    </row>
    <row r="89" spans="2:15">
      <c r="B89" s="354"/>
      <c r="C89" s="354"/>
      <c r="D89" s="354"/>
      <c r="E89" s="354"/>
      <c r="F89" s="354"/>
      <c r="G89" s="354"/>
      <c r="I89" s="354"/>
      <c r="J89" s="382">
        <v>0.41666666666666702</v>
      </c>
      <c r="K89" s="378">
        <v>4</v>
      </c>
      <c r="L89" s="371" t="s">
        <v>1210</v>
      </c>
      <c r="M89" s="371" t="s">
        <v>1211</v>
      </c>
      <c r="N89" s="372"/>
      <c r="O89" s="384"/>
    </row>
    <row r="90" spans="2:15">
      <c r="B90" s="354"/>
      <c r="F90" s="342"/>
      <c r="I90" s="354"/>
      <c r="J90" s="370"/>
      <c r="K90" s="361"/>
      <c r="L90" s="361"/>
      <c r="M90" s="384"/>
      <c r="N90" s="372"/>
      <c r="O90" s="384"/>
    </row>
    <row r="91" spans="2:15" ht="17.25" customHeight="1">
      <c r="B91" s="378" t="s">
        <v>1072</v>
      </c>
      <c r="C91" s="378" t="s">
        <v>1073</v>
      </c>
      <c r="D91" s="512" t="s">
        <v>1074</v>
      </c>
      <c r="E91" s="512"/>
      <c r="F91" s="512"/>
      <c r="G91" s="512"/>
      <c r="I91" s="354"/>
      <c r="J91" s="513" t="s">
        <v>1096</v>
      </c>
      <c r="K91" s="513"/>
      <c r="L91" s="513"/>
      <c r="M91" s="513"/>
      <c r="N91" s="513"/>
      <c r="O91" s="513"/>
    </row>
    <row r="92" spans="2:15">
      <c r="B92" s="390" t="s">
        <v>1078</v>
      </c>
      <c r="C92" s="390" t="s">
        <v>1079</v>
      </c>
      <c r="D92" s="378" t="s">
        <v>424</v>
      </c>
      <c r="E92" s="396" t="s">
        <v>425</v>
      </c>
      <c r="F92" s="378"/>
      <c r="G92" s="392"/>
      <c r="I92" s="354"/>
      <c r="J92" s="382">
        <v>0.5625</v>
      </c>
      <c r="K92" s="361">
        <v>5</v>
      </c>
      <c r="L92" s="371" t="s">
        <v>1212</v>
      </c>
      <c r="M92" s="371" t="s">
        <v>1213</v>
      </c>
      <c r="N92" s="372"/>
      <c r="O92" s="384"/>
    </row>
    <row r="93" spans="2:15">
      <c r="B93" s="370">
        <v>0.58333333333333304</v>
      </c>
      <c r="C93" s="361">
        <v>1</v>
      </c>
      <c r="D93" s="371" t="s">
        <v>1214</v>
      </c>
      <c r="E93" s="371" t="s">
        <v>1215</v>
      </c>
      <c r="F93" s="372"/>
      <c r="G93" s="384"/>
      <c r="I93" s="354"/>
      <c r="J93" s="382">
        <v>0.57638888888888895</v>
      </c>
      <c r="K93" s="361">
        <v>6</v>
      </c>
      <c r="L93" s="371" t="s">
        <v>1216</v>
      </c>
      <c r="M93" s="371" t="s">
        <v>1217</v>
      </c>
      <c r="N93" s="386"/>
      <c r="O93" s="384"/>
    </row>
    <row r="94" spans="2:15">
      <c r="B94" s="370">
        <v>0.59722222222222199</v>
      </c>
      <c r="C94" s="361">
        <v>2</v>
      </c>
      <c r="D94" s="371" t="s">
        <v>1218</v>
      </c>
      <c r="E94" s="371" t="s">
        <v>1219</v>
      </c>
      <c r="F94" s="372"/>
      <c r="G94" s="384"/>
      <c r="I94" s="354"/>
      <c r="J94" s="382">
        <v>0.59027777777777801</v>
      </c>
      <c r="K94" s="361">
        <v>7</v>
      </c>
      <c r="L94" s="371" t="s">
        <v>1220</v>
      </c>
      <c r="M94" s="371" t="s">
        <v>1221</v>
      </c>
      <c r="N94" s="383"/>
      <c r="O94" s="384"/>
    </row>
    <row r="95" spans="2:15">
      <c r="B95" s="370">
        <v>0.61111111111111105</v>
      </c>
      <c r="C95" s="361">
        <v>3</v>
      </c>
      <c r="D95" s="371" t="s">
        <v>1222</v>
      </c>
      <c r="E95" s="371" t="s">
        <v>1223</v>
      </c>
      <c r="F95" s="361"/>
      <c r="G95" s="392"/>
      <c r="I95" s="354"/>
      <c r="J95" s="370">
        <v>0.60416666666666696</v>
      </c>
      <c r="K95" s="361">
        <v>8</v>
      </c>
      <c r="L95" s="371" t="s">
        <v>1224</v>
      </c>
      <c r="M95" s="371" t="s">
        <v>1225</v>
      </c>
      <c r="N95" s="383"/>
      <c r="O95" s="392"/>
    </row>
    <row r="96" spans="2:15">
      <c r="B96" s="370">
        <v>0.625</v>
      </c>
      <c r="C96" s="361">
        <v>4</v>
      </c>
      <c r="D96" s="371" t="s">
        <v>1226</v>
      </c>
      <c r="E96" s="371" t="s">
        <v>1227</v>
      </c>
      <c r="F96" s="361"/>
      <c r="G96" s="392"/>
      <c r="I96" s="354"/>
      <c r="J96" s="370"/>
      <c r="K96" s="361"/>
      <c r="L96" s="372"/>
      <c r="M96" s="372"/>
      <c r="N96" s="395"/>
      <c r="O96" s="361"/>
    </row>
    <row r="97" spans="2:16">
      <c r="B97" s="370"/>
      <c r="C97" s="391"/>
      <c r="D97" s="372"/>
      <c r="E97" s="372"/>
      <c r="F97" s="361"/>
      <c r="G97" s="392"/>
      <c r="I97" s="354"/>
      <c r="J97" s="354"/>
      <c r="K97" s="381"/>
      <c r="L97" s="342"/>
      <c r="M97" s="342"/>
    </row>
    <row r="98" spans="2:16">
      <c r="B98" s="370"/>
      <c r="C98" s="391"/>
      <c r="D98" s="372"/>
      <c r="E98" s="372"/>
      <c r="F98" s="361"/>
      <c r="G98" s="392"/>
      <c r="I98" s="354"/>
      <c r="J98" s="354"/>
      <c r="K98" s="381"/>
      <c r="L98" s="342"/>
      <c r="M98" s="342"/>
    </row>
    <row r="99" spans="2:16">
      <c r="K99" s="381"/>
    </row>
    <row r="100" spans="2:16">
      <c r="K100" s="381"/>
    </row>
    <row r="102" spans="2:16">
      <c r="B102" s="343"/>
      <c r="E102" s="355" t="s">
        <v>1228</v>
      </c>
      <c r="F102" s="355"/>
      <c r="G102" s="343"/>
      <c r="I102" s="354"/>
      <c r="J102" s="343"/>
      <c r="L102" s="355" t="s">
        <v>1229</v>
      </c>
      <c r="M102" s="351"/>
      <c r="N102" s="351"/>
      <c r="P102" s="344"/>
    </row>
    <row r="103" spans="2:16">
      <c r="B103" s="354"/>
      <c r="C103" s="357" t="s">
        <v>1068</v>
      </c>
      <c r="D103" s="358" t="s">
        <v>1069</v>
      </c>
      <c r="E103" s="359" t="s">
        <v>1070</v>
      </c>
      <c r="F103" s="359" t="s">
        <v>1071</v>
      </c>
      <c r="G103" s="360"/>
      <c r="I103" s="354"/>
      <c r="J103" s="378" t="s">
        <v>1072</v>
      </c>
      <c r="K103" s="396" t="s">
        <v>1073</v>
      </c>
      <c r="L103" s="512" t="s">
        <v>1074</v>
      </c>
      <c r="M103" s="512"/>
      <c r="N103" s="512"/>
      <c r="O103" s="512"/>
    </row>
    <row r="104" spans="2:16">
      <c r="B104" s="354"/>
      <c r="C104" s="362"/>
      <c r="D104" s="363" t="s">
        <v>1075</v>
      </c>
      <c r="E104" s="364" t="s">
        <v>1076</v>
      </c>
      <c r="F104" s="365" t="s">
        <v>1077</v>
      </c>
      <c r="G104" s="366"/>
      <c r="I104" s="354"/>
      <c r="J104" s="379" t="s">
        <v>1078</v>
      </c>
      <c r="K104" s="379" t="s">
        <v>1079</v>
      </c>
      <c r="L104" s="401" t="s">
        <v>424</v>
      </c>
      <c r="M104" s="402" t="s">
        <v>425</v>
      </c>
      <c r="N104" s="361"/>
      <c r="O104" s="403"/>
    </row>
    <row r="105" spans="2:16">
      <c r="B105" s="368"/>
      <c r="C105" s="362"/>
      <c r="D105" s="363" t="s">
        <v>1080</v>
      </c>
      <c r="E105" s="363" t="s">
        <v>1081</v>
      </c>
      <c r="F105" s="369" t="s">
        <v>598</v>
      </c>
      <c r="G105" s="366"/>
      <c r="I105" s="354"/>
      <c r="J105" s="382">
        <v>0.375</v>
      </c>
      <c r="K105" s="361">
        <v>1</v>
      </c>
      <c r="L105" s="371" t="s">
        <v>1230</v>
      </c>
      <c r="M105" s="371" t="s">
        <v>1231</v>
      </c>
      <c r="O105" s="372"/>
    </row>
    <row r="106" spans="2:16">
      <c r="B106" s="354"/>
      <c r="C106" s="373"/>
      <c r="D106" s="374" t="s">
        <v>1084</v>
      </c>
      <c r="E106" s="375" t="s">
        <v>599</v>
      </c>
      <c r="F106" s="376" t="s">
        <v>1085</v>
      </c>
      <c r="G106" s="377"/>
      <c r="I106" s="354"/>
      <c r="J106" s="382">
        <v>0.38888888888888901</v>
      </c>
      <c r="K106" s="361">
        <v>2</v>
      </c>
      <c r="L106" s="371" t="s">
        <v>1232</v>
      </c>
      <c r="M106" s="371" t="s">
        <v>1233</v>
      </c>
      <c r="N106" s="372"/>
      <c r="O106" s="384"/>
    </row>
    <row r="107" spans="2:16">
      <c r="B107" s="354"/>
      <c r="C107" s="354"/>
      <c r="D107" s="354"/>
      <c r="E107" s="354"/>
      <c r="F107" s="354"/>
      <c r="G107" s="354"/>
      <c r="I107" s="354"/>
      <c r="J107" s="382">
        <v>0.40277777777777801</v>
      </c>
      <c r="K107" s="361">
        <v>3</v>
      </c>
      <c r="L107" s="371" t="s">
        <v>1234</v>
      </c>
      <c r="M107" s="371" t="s">
        <v>1235</v>
      </c>
      <c r="N107" s="372"/>
      <c r="O107" s="384"/>
    </row>
    <row r="108" spans="2:16">
      <c r="B108" s="354"/>
      <c r="C108" s="354"/>
      <c r="D108" s="354"/>
      <c r="E108" s="354"/>
      <c r="F108" s="354"/>
      <c r="G108" s="354"/>
      <c r="I108" s="354"/>
      <c r="J108" s="382">
        <v>0.41666666666666702</v>
      </c>
      <c r="K108" s="378">
        <v>4</v>
      </c>
      <c r="L108" s="371" t="s">
        <v>1236</v>
      </c>
      <c r="M108" s="371" t="s">
        <v>1237</v>
      </c>
      <c r="N108" s="372"/>
      <c r="O108" s="384"/>
    </row>
    <row r="109" spans="2:16">
      <c r="B109" s="354"/>
      <c r="F109" s="342"/>
      <c r="I109" s="354"/>
      <c r="J109" s="370"/>
      <c r="K109" s="361"/>
      <c r="L109" s="361"/>
      <c r="M109" s="384"/>
      <c r="N109" s="372"/>
      <c r="O109" s="384"/>
    </row>
    <row r="110" spans="2:16" ht="17.25" customHeight="1">
      <c r="B110" s="378" t="s">
        <v>1072</v>
      </c>
      <c r="C110" s="378" t="s">
        <v>1073</v>
      </c>
      <c r="D110" s="512" t="s">
        <v>1074</v>
      </c>
      <c r="E110" s="512"/>
      <c r="F110" s="512"/>
      <c r="G110" s="512"/>
      <c r="I110" s="354"/>
      <c r="J110" s="513" t="s">
        <v>1096</v>
      </c>
      <c r="K110" s="513"/>
      <c r="L110" s="513"/>
      <c r="M110" s="513"/>
      <c r="N110" s="513"/>
      <c r="O110" s="513"/>
    </row>
    <row r="111" spans="2:16">
      <c r="B111" s="390" t="s">
        <v>1078</v>
      </c>
      <c r="C111" s="390" t="s">
        <v>1079</v>
      </c>
      <c r="D111" s="361" t="s">
        <v>424</v>
      </c>
      <c r="E111" s="391" t="s">
        <v>425</v>
      </c>
      <c r="F111" s="361"/>
      <c r="G111" s="392"/>
      <c r="I111" s="354"/>
      <c r="J111" s="382">
        <v>0.5625</v>
      </c>
      <c r="K111" s="361">
        <v>5</v>
      </c>
      <c r="L111" s="371" t="s">
        <v>1238</v>
      </c>
      <c r="M111" s="371" t="s">
        <v>1239</v>
      </c>
      <c r="N111" s="383"/>
      <c r="O111" s="384"/>
    </row>
    <row r="112" spans="2:16">
      <c r="B112" s="370">
        <v>0.58333333333333304</v>
      </c>
      <c r="C112" s="361">
        <v>1</v>
      </c>
      <c r="D112" s="371" t="s">
        <v>1240</v>
      </c>
      <c r="E112" s="371" t="s">
        <v>1241</v>
      </c>
      <c r="F112" s="400"/>
      <c r="G112" s="372"/>
      <c r="I112" s="354"/>
      <c r="J112" s="382">
        <v>0.57638888888888895</v>
      </c>
      <c r="K112" s="361">
        <v>6</v>
      </c>
      <c r="L112" s="371" t="s">
        <v>1242</v>
      </c>
      <c r="M112" s="371" t="s">
        <v>1243</v>
      </c>
      <c r="N112" s="383"/>
      <c r="O112" s="384"/>
    </row>
    <row r="113" spans="2:15">
      <c r="B113" s="370">
        <v>0.59722222222222199</v>
      </c>
      <c r="C113" s="361">
        <v>2</v>
      </c>
      <c r="D113" s="385" t="s">
        <v>1244</v>
      </c>
      <c r="E113" s="385" t="s">
        <v>1245</v>
      </c>
      <c r="F113" s="386"/>
      <c r="G113" s="372"/>
      <c r="I113" s="354"/>
      <c r="J113" s="382">
        <v>0.59027777777777801</v>
      </c>
      <c r="K113" s="361">
        <v>7</v>
      </c>
      <c r="L113" s="371" t="s">
        <v>1246</v>
      </c>
      <c r="M113" s="371" t="s">
        <v>1247</v>
      </c>
      <c r="N113" s="400"/>
      <c r="O113" s="384"/>
    </row>
    <row r="114" spans="2:15">
      <c r="B114" s="370">
        <v>0.61111111111111105</v>
      </c>
      <c r="C114" s="391">
        <v>3</v>
      </c>
      <c r="D114" s="371" t="s">
        <v>1248</v>
      </c>
      <c r="E114" s="371" t="s">
        <v>1249</v>
      </c>
      <c r="F114" s="361"/>
      <c r="G114" s="392"/>
      <c r="I114" s="354"/>
      <c r="J114" s="370">
        <v>0.60416666666666696</v>
      </c>
      <c r="K114" s="361">
        <v>8</v>
      </c>
      <c r="L114" s="371" t="s">
        <v>1250</v>
      </c>
      <c r="M114" s="371" t="s">
        <v>1251</v>
      </c>
      <c r="N114" s="361"/>
      <c r="O114" s="361"/>
    </row>
    <row r="115" spans="2:15">
      <c r="B115" s="370">
        <v>0.625</v>
      </c>
      <c r="C115" s="391">
        <v>4</v>
      </c>
      <c r="D115" s="371" t="s">
        <v>1252</v>
      </c>
      <c r="E115" s="371" t="s">
        <v>1253</v>
      </c>
      <c r="F115" s="361"/>
      <c r="G115" s="392"/>
      <c r="I115" s="354"/>
      <c r="J115" s="370"/>
      <c r="K115" s="361"/>
      <c r="L115" s="372"/>
      <c r="M115" s="372"/>
      <c r="N115" s="361"/>
      <c r="O115" s="361"/>
    </row>
    <row r="116" spans="2:15">
      <c r="B116" s="370"/>
      <c r="C116" s="391"/>
      <c r="D116" s="361"/>
      <c r="E116" s="361"/>
      <c r="F116" s="361"/>
      <c r="G116" s="392"/>
      <c r="I116" s="354"/>
      <c r="J116" s="354"/>
      <c r="L116" s="342"/>
      <c r="M116" s="342"/>
    </row>
    <row r="117" spans="2:15">
      <c r="B117" s="370"/>
      <c r="C117" s="361"/>
      <c r="D117" s="400"/>
      <c r="E117" s="400"/>
      <c r="F117" s="395"/>
      <c r="G117" s="361"/>
      <c r="I117" s="354"/>
      <c r="J117" s="354"/>
      <c r="L117" s="342"/>
      <c r="M117" s="342"/>
    </row>
    <row r="120" spans="2:15" ht="18">
      <c r="B120" s="343"/>
      <c r="E120" s="404" t="s">
        <v>1254</v>
      </c>
      <c r="F120" s="404"/>
      <c r="G120" s="343"/>
      <c r="H120" s="346"/>
      <c r="I120" s="343"/>
      <c r="J120" s="343"/>
      <c r="L120" s="404" t="s">
        <v>1255</v>
      </c>
      <c r="M120" s="349"/>
      <c r="N120" s="349"/>
    </row>
    <row r="121" spans="2:15">
      <c r="B121" s="343"/>
      <c r="C121" s="357" t="s">
        <v>1068</v>
      </c>
      <c r="D121" s="358" t="s">
        <v>1069</v>
      </c>
      <c r="E121" s="405" t="s">
        <v>1256</v>
      </c>
      <c r="F121" s="405" t="s">
        <v>1257</v>
      </c>
      <c r="G121" s="360"/>
      <c r="H121" s="346"/>
      <c r="I121" s="343"/>
      <c r="J121" s="378" t="s">
        <v>1072</v>
      </c>
      <c r="K121" s="396" t="s">
        <v>1073</v>
      </c>
      <c r="L121" s="516" t="s">
        <v>1258</v>
      </c>
      <c r="M121" s="516"/>
      <c r="N121" s="516"/>
      <c r="O121" s="516"/>
    </row>
    <row r="122" spans="2:15">
      <c r="B122" s="343"/>
      <c r="C122" s="362"/>
      <c r="D122" s="406" t="s">
        <v>1075</v>
      </c>
      <c r="E122" s="364" t="s">
        <v>1076</v>
      </c>
      <c r="F122" s="365" t="s">
        <v>1077</v>
      </c>
      <c r="G122" s="366"/>
      <c r="H122" s="346"/>
      <c r="I122" s="343"/>
      <c r="J122" s="379" t="s">
        <v>1078</v>
      </c>
      <c r="K122" s="379" t="s">
        <v>1079</v>
      </c>
      <c r="L122" s="407" t="s">
        <v>424</v>
      </c>
      <c r="M122" s="407" t="s">
        <v>425</v>
      </c>
      <c r="N122" s="380"/>
      <c r="O122" s="403"/>
    </row>
    <row r="123" spans="2:15">
      <c r="B123" s="408"/>
      <c r="C123" s="362"/>
      <c r="D123" s="406" t="s">
        <v>1080</v>
      </c>
      <c r="E123" s="406" t="s">
        <v>1081</v>
      </c>
      <c r="F123" s="409" t="s">
        <v>598</v>
      </c>
      <c r="G123" s="366"/>
      <c r="H123" s="346"/>
      <c r="I123" s="343"/>
      <c r="J123" s="370">
        <v>0.375</v>
      </c>
      <c r="K123" s="361">
        <v>1</v>
      </c>
      <c r="L123" s="371" t="s">
        <v>529</v>
      </c>
      <c r="M123" s="371" t="s">
        <v>545</v>
      </c>
      <c r="N123" s="383"/>
      <c r="O123" s="401"/>
    </row>
    <row r="124" spans="2:15">
      <c r="B124" s="343"/>
      <c r="C124" s="373"/>
      <c r="D124" s="374" t="s">
        <v>1084</v>
      </c>
      <c r="E124" s="375" t="s">
        <v>599</v>
      </c>
      <c r="F124" s="376" t="s">
        <v>1085</v>
      </c>
      <c r="G124" s="377"/>
      <c r="H124" s="346"/>
      <c r="I124" s="343"/>
      <c r="J124" s="370">
        <v>0.38888888888888901</v>
      </c>
      <c r="K124" s="361">
        <v>2</v>
      </c>
      <c r="L124" s="371" t="s">
        <v>540</v>
      </c>
      <c r="M124" s="371" t="s">
        <v>536</v>
      </c>
      <c r="N124" s="383"/>
      <c r="O124" s="401"/>
    </row>
    <row r="125" spans="2:15">
      <c r="B125" s="343"/>
      <c r="G125" s="343"/>
      <c r="H125" s="346"/>
      <c r="I125" s="343"/>
      <c r="J125" s="370">
        <v>0.40277777777777801</v>
      </c>
      <c r="K125" s="361">
        <v>3</v>
      </c>
      <c r="L125" s="371" t="s">
        <v>533</v>
      </c>
      <c r="M125" s="371" t="s">
        <v>549</v>
      </c>
      <c r="N125" s="401"/>
      <c r="O125" s="401"/>
    </row>
    <row r="126" spans="2:15">
      <c r="B126" s="343"/>
      <c r="G126" s="343"/>
      <c r="H126" s="346"/>
      <c r="I126" s="343"/>
      <c r="J126" s="370">
        <v>0.41666666666666702</v>
      </c>
      <c r="K126" s="361">
        <v>4</v>
      </c>
      <c r="L126" s="371" t="s">
        <v>558</v>
      </c>
      <c r="M126" s="371" t="s">
        <v>552</v>
      </c>
      <c r="N126" s="383"/>
      <c r="O126" s="401"/>
    </row>
    <row r="127" spans="2:15">
      <c r="B127" s="343"/>
      <c r="F127" s="342"/>
      <c r="H127" s="346"/>
      <c r="I127" s="343"/>
      <c r="J127" s="370"/>
      <c r="K127" s="361"/>
      <c r="L127" s="361"/>
      <c r="M127" s="401"/>
      <c r="N127" s="401"/>
      <c r="O127" s="401"/>
    </row>
    <row r="128" spans="2:15">
      <c r="B128" s="378" t="s">
        <v>1072</v>
      </c>
      <c r="C128" s="378" t="s">
        <v>1073</v>
      </c>
      <c r="D128" s="516" t="s">
        <v>1258</v>
      </c>
      <c r="E128" s="516"/>
      <c r="F128" s="516"/>
      <c r="G128" s="516"/>
      <c r="H128" s="346"/>
      <c r="I128" s="343"/>
      <c r="J128" s="513" t="s">
        <v>1096</v>
      </c>
      <c r="K128" s="513"/>
      <c r="L128" s="513"/>
      <c r="M128" s="513"/>
      <c r="N128" s="513"/>
      <c r="O128" s="513"/>
    </row>
    <row r="129" spans="2:15">
      <c r="B129" s="390" t="s">
        <v>1078</v>
      </c>
      <c r="C129" s="390" t="s">
        <v>1079</v>
      </c>
      <c r="D129" s="361" t="s">
        <v>424</v>
      </c>
      <c r="E129" s="391" t="s">
        <v>425</v>
      </c>
      <c r="F129" s="361"/>
      <c r="G129" s="392"/>
      <c r="H129" s="346"/>
      <c r="I129" s="343"/>
      <c r="J129" s="370">
        <v>0.58333333333333304</v>
      </c>
      <c r="K129" s="361">
        <v>5</v>
      </c>
      <c r="L129" s="371" t="s">
        <v>986</v>
      </c>
      <c r="M129" s="371" t="s">
        <v>993</v>
      </c>
      <c r="N129" s="401"/>
      <c r="O129" s="401"/>
    </row>
    <row r="130" spans="2:15">
      <c r="B130" s="370">
        <v>0.58333333333333304</v>
      </c>
      <c r="C130" s="361">
        <v>1</v>
      </c>
      <c r="D130" s="371" t="s">
        <v>984</v>
      </c>
      <c r="E130" s="371" t="s">
        <v>988</v>
      </c>
      <c r="F130" s="400"/>
      <c r="G130" s="372"/>
      <c r="H130" s="346"/>
      <c r="I130" s="343"/>
      <c r="J130" s="370">
        <v>0.59722222222222199</v>
      </c>
      <c r="K130" s="361">
        <v>6</v>
      </c>
      <c r="L130" s="371" t="s">
        <v>1008</v>
      </c>
      <c r="M130" s="371" t="s">
        <v>1000</v>
      </c>
      <c r="N130" s="401"/>
      <c r="O130" s="401"/>
    </row>
    <row r="131" spans="2:15">
      <c r="B131" s="370">
        <v>0.59722222222222199</v>
      </c>
      <c r="C131" s="361">
        <v>2</v>
      </c>
      <c r="D131" s="371" t="s">
        <v>995</v>
      </c>
      <c r="E131" s="371" t="s">
        <v>991</v>
      </c>
      <c r="G131" s="400"/>
      <c r="H131" s="346"/>
      <c r="I131" s="343"/>
      <c r="J131" s="370">
        <v>0.61111111111111105</v>
      </c>
      <c r="K131" s="361">
        <v>7</v>
      </c>
      <c r="L131" s="361"/>
      <c r="M131" s="361"/>
      <c r="N131" s="401"/>
      <c r="O131" s="401"/>
    </row>
    <row r="132" spans="2:15">
      <c r="B132" s="370">
        <v>0.61111111111111105</v>
      </c>
      <c r="C132" s="361">
        <v>3</v>
      </c>
      <c r="D132" s="371" t="s">
        <v>998</v>
      </c>
      <c r="E132" s="371" t="s">
        <v>1003</v>
      </c>
      <c r="F132" s="361"/>
      <c r="G132" s="361"/>
      <c r="H132" s="346"/>
      <c r="I132" s="343"/>
      <c r="J132" s="370">
        <v>0.625</v>
      </c>
      <c r="K132" s="361">
        <v>8</v>
      </c>
      <c r="L132" s="361"/>
      <c r="M132" s="361"/>
      <c r="N132" s="361"/>
      <c r="O132" s="361"/>
    </row>
    <row r="133" spans="2:15">
      <c r="B133" s="370">
        <v>0.625</v>
      </c>
      <c r="C133" s="361">
        <v>4</v>
      </c>
      <c r="D133" s="371" t="s">
        <v>1011</v>
      </c>
      <c r="E133" s="371" t="s">
        <v>1006</v>
      </c>
      <c r="G133" s="361"/>
      <c r="H133" s="346"/>
      <c r="I133" s="343"/>
      <c r="J133" s="370"/>
      <c r="K133" s="361"/>
      <c r="L133" s="401"/>
      <c r="M133" s="401"/>
      <c r="N133" s="361"/>
      <c r="O133" s="361"/>
    </row>
    <row r="134" spans="2:15">
      <c r="B134" s="370"/>
      <c r="C134" s="361"/>
      <c r="D134" s="361"/>
      <c r="E134" s="372"/>
      <c r="F134" s="361"/>
      <c r="G134" s="361"/>
      <c r="H134" s="346"/>
      <c r="I134" s="343"/>
      <c r="J134" s="343"/>
      <c r="L134" s="342"/>
      <c r="M134" s="342"/>
    </row>
    <row r="135" spans="2:15">
      <c r="B135" s="370"/>
      <c r="C135" s="361"/>
      <c r="D135" s="372"/>
      <c r="E135" s="372"/>
      <c r="F135" s="361"/>
      <c r="G135" s="361"/>
      <c r="H135" s="346"/>
      <c r="I135" s="343"/>
      <c r="J135" s="343"/>
      <c r="L135" s="342"/>
      <c r="M135" s="342"/>
    </row>
    <row r="136" spans="2:15">
      <c r="H136" s="346"/>
      <c r="I136" s="342"/>
    </row>
    <row r="137" spans="2:15">
      <c r="H137" s="346"/>
      <c r="I137" s="342"/>
    </row>
    <row r="138" spans="2:15">
      <c r="H138" s="346"/>
      <c r="I138" s="342"/>
    </row>
    <row r="139" spans="2:15" ht="18">
      <c r="B139" s="343"/>
      <c r="E139" s="404" t="s">
        <v>1259</v>
      </c>
      <c r="F139" s="404"/>
      <c r="G139" s="343"/>
      <c r="H139" s="346"/>
      <c r="I139" s="343"/>
      <c r="J139" s="343"/>
      <c r="L139" s="404" t="s">
        <v>1260</v>
      </c>
      <c r="M139" s="349"/>
      <c r="N139" s="349"/>
    </row>
    <row r="140" spans="2:15">
      <c r="B140" s="343"/>
      <c r="C140" s="357" t="s">
        <v>1068</v>
      </c>
      <c r="D140" s="358" t="s">
        <v>1069</v>
      </c>
      <c r="E140" s="405" t="s">
        <v>1256</v>
      </c>
      <c r="F140" s="405" t="s">
        <v>1257</v>
      </c>
      <c r="G140" s="360"/>
      <c r="H140" s="346"/>
      <c r="I140" s="343"/>
      <c r="J140" s="378" t="s">
        <v>1072</v>
      </c>
      <c r="K140" s="396" t="s">
        <v>1073</v>
      </c>
      <c r="L140" s="516" t="s">
        <v>1258</v>
      </c>
      <c r="M140" s="516"/>
      <c r="N140" s="516"/>
      <c r="O140" s="516"/>
    </row>
    <row r="141" spans="2:15">
      <c r="B141" s="343"/>
      <c r="C141" s="362"/>
      <c r="D141" s="406" t="s">
        <v>1075</v>
      </c>
      <c r="E141" s="364" t="s">
        <v>1076</v>
      </c>
      <c r="F141" s="365" t="s">
        <v>1077</v>
      </c>
      <c r="G141" s="366"/>
      <c r="H141" s="346"/>
      <c r="I141" s="343"/>
      <c r="J141" s="379" t="s">
        <v>1078</v>
      </c>
      <c r="K141" s="379" t="s">
        <v>1079</v>
      </c>
      <c r="L141" s="401" t="s">
        <v>424</v>
      </c>
      <c r="M141" s="401" t="s">
        <v>425</v>
      </c>
      <c r="N141" s="380"/>
      <c r="O141" s="403"/>
    </row>
    <row r="142" spans="2:15">
      <c r="B142" s="408"/>
      <c r="C142" s="362"/>
      <c r="D142" s="406" t="s">
        <v>1080</v>
      </c>
      <c r="E142" s="406" t="s">
        <v>1081</v>
      </c>
      <c r="F142" s="409" t="s">
        <v>598</v>
      </c>
      <c r="G142" s="366"/>
      <c r="H142" s="346"/>
      <c r="I142" s="343"/>
      <c r="J142" s="382">
        <v>0.375</v>
      </c>
      <c r="K142" s="361">
        <v>1</v>
      </c>
      <c r="L142" s="361" t="s">
        <v>535</v>
      </c>
      <c r="N142" s="383"/>
      <c r="O142" s="372"/>
    </row>
    <row r="143" spans="2:15">
      <c r="B143" s="343"/>
      <c r="C143" s="373"/>
      <c r="D143" s="374" t="s">
        <v>1084</v>
      </c>
      <c r="E143" s="375" t="s">
        <v>599</v>
      </c>
      <c r="F143" s="376" t="s">
        <v>1085</v>
      </c>
      <c r="G143" s="377"/>
      <c r="H143" s="346"/>
      <c r="I143" s="343"/>
      <c r="J143" s="382">
        <v>0.38888888888888901</v>
      </c>
      <c r="K143" s="361">
        <v>2</v>
      </c>
      <c r="L143" s="361" t="s">
        <v>551</v>
      </c>
      <c r="M143" s="372"/>
      <c r="N143" s="372"/>
      <c r="O143" s="384"/>
    </row>
    <row r="144" spans="2:15">
      <c r="B144" s="343"/>
      <c r="G144" s="343"/>
      <c r="H144" s="346"/>
      <c r="I144" s="343"/>
      <c r="J144" s="382">
        <v>0.40277777777777801</v>
      </c>
      <c r="K144" s="361">
        <v>3</v>
      </c>
      <c r="L144" s="361" t="s">
        <v>990</v>
      </c>
      <c r="M144" s="384"/>
      <c r="N144" s="372"/>
      <c r="O144" s="384"/>
    </row>
    <row r="145" spans="2:15">
      <c r="B145" s="343"/>
      <c r="G145" s="343"/>
      <c r="H145" s="346"/>
      <c r="I145" s="343"/>
      <c r="J145" s="382">
        <v>0.41666666666666702</v>
      </c>
      <c r="K145" s="378">
        <v>4</v>
      </c>
      <c r="L145" s="361" t="s">
        <v>1005</v>
      </c>
      <c r="M145" s="372"/>
      <c r="N145" s="372"/>
      <c r="O145" s="384"/>
    </row>
    <row r="146" spans="2:15">
      <c r="B146" s="343"/>
      <c r="F146" s="342"/>
      <c r="H146" s="346"/>
      <c r="I146" s="343"/>
      <c r="J146" s="370"/>
      <c r="K146" s="361"/>
      <c r="L146" s="361"/>
      <c r="M146" s="384"/>
      <c r="N146" s="372"/>
      <c r="O146" s="384"/>
    </row>
    <row r="147" spans="2:15">
      <c r="B147" s="378" t="s">
        <v>1072</v>
      </c>
      <c r="C147" s="378" t="s">
        <v>1073</v>
      </c>
      <c r="D147" s="516" t="s">
        <v>1258</v>
      </c>
      <c r="E147" s="516"/>
      <c r="F147" s="516"/>
      <c r="G147" s="516"/>
      <c r="H147" s="346"/>
      <c r="I147" s="343"/>
      <c r="J147" s="513" t="s">
        <v>1096</v>
      </c>
      <c r="K147" s="513"/>
      <c r="L147" s="513"/>
      <c r="M147" s="513"/>
      <c r="N147" s="513"/>
      <c r="O147" s="513"/>
    </row>
    <row r="148" spans="2:15">
      <c r="B148" s="390" t="s">
        <v>1078</v>
      </c>
      <c r="C148" s="390" t="s">
        <v>1079</v>
      </c>
      <c r="D148" s="378" t="s">
        <v>424</v>
      </c>
      <c r="E148" s="396" t="s">
        <v>425</v>
      </c>
      <c r="F148" s="378"/>
      <c r="G148" s="392"/>
      <c r="H148" s="346"/>
      <c r="I148" s="343"/>
      <c r="J148" s="382">
        <v>0.58333333333333304</v>
      </c>
      <c r="K148" s="361">
        <v>5</v>
      </c>
      <c r="L148" s="361" t="s">
        <v>556</v>
      </c>
      <c r="M148" s="365"/>
      <c r="N148" s="372"/>
      <c r="O148" s="384"/>
    </row>
    <row r="149" spans="2:15">
      <c r="B149" s="370">
        <v>0.58333333333333304</v>
      </c>
      <c r="C149" s="391">
        <v>1</v>
      </c>
      <c r="D149" s="371" t="s">
        <v>531</v>
      </c>
      <c r="E149" s="361"/>
      <c r="F149" s="401"/>
      <c r="G149" s="384"/>
      <c r="H149" s="346"/>
      <c r="I149" s="343"/>
      <c r="J149" s="382">
        <v>0.59722222222222199</v>
      </c>
      <c r="K149" s="361">
        <v>6</v>
      </c>
      <c r="L149" s="361" t="s">
        <v>542</v>
      </c>
      <c r="M149" s="372"/>
      <c r="N149" s="372"/>
      <c r="O149" s="384"/>
    </row>
    <row r="150" spans="2:15">
      <c r="B150" s="370">
        <v>0.59722222222222199</v>
      </c>
      <c r="C150" s="391">
        <v>2</v>
      </c>
      <c r="D150" s="371" t="s">
        <v>538</v>
      </c>
      <c r="E150" s="361"/>
      <c r="F150" s="401"/>
      <c r="G150" s="384"/>
      <c r="H150" s="346"/>
      <c r="I150" s="343"/>
      <c r="J150" s="382">
        <v>0.61111111111111105</v>
      </c>
      <c r="K150" s="361">
        <v>7</v>
      </c>
      <c r="L150" s="361" t="s">
        <v>1010</v>
      </c>
      <c r="M150" s="372"/>
      <c r="N150" s="372"/>
      <c r="O150" s="384"/>
    </row>
    <row r="151" spans="2:15">
      <c r="B151" s="370">
        <v>0.61111111111111105</v>
      </c>
      <c r="C151" s="391">
        <v>3</v>
      </c>
      <c r="D151" s="371" t="s">
        <v>547</v>
      </c>
      <c r="E151" s="361"/>
      <c r="F151" s="361"/>
      <c r="G151" s="392"/>
      <c r="H151" s="346"/>
      <c r="I151" s="343"/>
      <c r="J151" s="370">
        <v>0.625</v>
      </c>
      <c r="K151" s="361">
        <v>8</v>
      </c>
      <c r="L151" s="361" t="s">
        <v>997</v>
      </c>
      <c r="M151" s="372"/>
      <c r="N151" s="361"/>
      <c r="O151" s="361"/>
    </row>
    <row r="152" spans="2:15">
      <c r="B152" s="370">
        <v>0.625</v>
      </c>
      <c r="C152" s="391">
        <v>4</v>
      </c>
      <c r="D152" s="371" t="s">
        <v>554</v>
      </c>
      <c r="E152" s="361"/>
      <c r="F152" s="361"/>
      <c r="G152" s="392"/>
      <c r="H152" s="346"/>
      <c r="I152" s="343"/>
      <c r="J152" s="370"/>
      <c r="K152" s="361"/>
      <c r="L152" s="372"/>
      <c r="M152" s="372"/>
      <c r="N152" s="361"/>
      <c r="O152" s="361"/>
    </row>
    <row r="153" spans="2:15">
      <c r="B153" s="370"/>
      <c r="C153" s="361"/>
      <c r="D153" s="395"/>
      <c r="E153" s="400"/>
      <c r="F153" s="395"/>
      <c r="G153" s="361"/>
      <c r="H153" s="346"/>
      <c r="I153" s="343"/>
      <c r="J153" s="343"/>
      <c r="L153" s="342"/>
      <c r="M153" s="342"/>
    </row>
    <row r="154" spans="2:15">
      <c r="B154" s="370"/>
      <c r="C154" s="361"/>
      <c r="D154" s="372"/>
      <c r="E154" s="372"/>
      <c r="F154" s="361"/>
      <c r="G154" s="361"/>
      <c r="H154" s="346"/>
      <c r="I154" s="343"/>
      <c r="J154" s="343"/>
      <c r="L154" s="342"/>
      <c r="M154" s="342"/>
    </row>
  </sheetData>
  <mergeCells count="24">
    <mergeCell ref="L140:O140"/>
    <mergeCell ref="D147:G147"/>
    <mergeCell ref="J147:O147"/>
    <mergeCell ref="L103:O103"/>
    <mergeCell ref="D110:G110"/>
    <mergeCell ref="J110:O110"/>
    <mergeCell ref="L121:O121"/>
    <mergeCell ref="D128:G128"/>
    <mergeCell ref="J128:O128"/>
    <mergeCell ref="D72:G72"/>
    <mergeCell ref="J72:O72"/>
    <mergeCell ref="L84:O84"/>
    <mergeCell ref="D91:G91"/>
    <mergeCell ref="J91:O91"/>
    <mergeCell ref="J35:O35"/>
    <mergeCell ref="L46:O46"/>
    <mergeCell ref="D53:G53"/>
    <mergeCell ref="J53:O53"/>
    <mergeCell ref="L65:O65"/>
    <mergeCell ref="L8:O8"/>
    <mergeCell ref="D15:G15"/>
    <mergeCell ref="J16:O16"/>
    <mergeCell ref="L27:O27"/>
    <mergeCell ref="D34:G34"/>
  </mergeCells>
  <pageMargins left="0.7" right="0.7" top="0.75" bottom="0.75" header="0.51180555555555496" footer="0.51180555555555496"/>
  <pageSetup paperSize="9" firstPageNumber="0" fitToHeight="0" orientation="portrait" horizontalDpi="300" verticalDpi="300"/>
  <rowBreaks count="1" manualBreakCount="1"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06"/>
  <sheetViews>
    <sheetView topLeftCell="A31" zoomScale="70" zoomScaleNormal="70" workbookViewId="0">
      <selection activeCell="U62" sqref="U62"/>
    </sheetView>
  </sheetViews>
  <sheetFormatPr defaultColWidth="7.6640625" defaultRowHeight="21"/>
  <cols>
    <col min="1" max="1" width="3.5546875" style="15" customWidth="1"/>
    <col min="2" max="2" width="9" style="15" customWidth="1"/>
    <col min="3" max="3" width="9" style="16" hidden="1" customWidth="1"/>
    <col min="4" max="4" width="9" style="15" customWidth="1"/>
    <col min="5" max="5" width="26.109375" style="16" customWidth="1"/>
    <col min="6" max="6" width="20.77734375" style="15" customWidth="1"/>
    <col min="7" max="7" width="12" style="15" customWidth="1"/>
    <col min="8" max="8" width="7.33203125" style="15" customWidth="1"/>
    <col min="9" max="9" width="20.77734375" style="15" customWidth="1"/>
    <col min="10" max="10" width="12" style="15" customWidth="1"/>
    <col min="11" max="11" width="7.33203125" style="15" customWidth="1"/>
    <col min="12" max="12" width="12.88671875" style="15" customWidth="1"/>
    <col min="13" max="13" width="16.21875" style="16" customWidth="1"/>
    <col min="14" max="14" width="30.77734375" style="17" customWidth="1"/>
    <col min="15" max="15" width="17.5546875" style="15" customWidth="1"/>
    <col min="16" max="17" width="10.77734375" style="17" customWidth="1"/>
    <col min="18" max="19" width="7.6640625" style="15"/>
    <col min="20" max="20" width="8.5546875" style="15" bestFit="1" customWidth="1"/>
    <col min="21" max="1024" width="7.6640625" style="15"/>
  </cols>
  <sheetData>
    <row r="1" spans="1:21" ht="21" customHeight="1">
      <c r="B1" s="18" t="s">
        <v>44</v>
      </c>
      <c r="C1" s="19"/>
      <c r="D1" s="19"/>
      <c r="E1" s="20"/>
      <c r="F1" s="19"/>
      <c r="G1" s="19"/>
      <c r="H1" s="19"/>
      <c r="I1" s="19"/>
      <c r="J1" s="19"/>
      <c r="K1" s="19"/>
      <c r="L1" s="19"/>
      <c r="M1" s="21"/>
    </row>
    <row r="2" spans="1:21" ht="21" customHeight="1">
      <c r="B2" s="22" t="s">
        <v>45</v>
      </c>
      <c r="C2" s="22"/>
      <c r="D2" s="22"/>
      <c r="E2" s="19"/>
      <c r="F2" s="19"/>
      <c r="G2" s="19"/>
      <c r="H2" s="19"/>
      <c r="I2" s="19"/>
      <c r="J2" s="19"/>
      <c r="K2" s="20"/>
      <c r="L2" s="20"/>
      <c r="M2" s="21"/>
    </row>
    <row r="3" spans="1:21" ht="21" customHeight="1">
      <c r="B3" s="23" t="s">
        <v>46</v>
      </c>
      <c r="C3" s="24"/>
      <c r="D3" s="24"/>
      <c r="E3" s="17"/>
      <c r="F3" s="17"/>
      <c r="G3" s="17"/>
      <c r="H3" s="17"/>
      <c r="I3" s="17"/>
      <c r="J3" s="17"/>
      <c r="K3" s="17"/>
      <c r="L3" s="17"/>
      <c r="M3" s="25"/>
      <c r="N3" s="26"/>
      <c r="O3" s="27"/>
    </row>
    <row r="4" spans="1:21" ht="21" customHeight="1">
      <c r="B4" s="28" t="s">
        <v>47</v>
      </c>
      <c r="C4" s="29" t="s">
        <v>48</v>
      </c>
      <c r="D4" s="30" t="s">
        <v>49</v>
      </c>
      <c r="E4" s="31" t="s">
        <v>50</v>
      </c>
      <c r="F4" s="32"/>
      <c r="G4" s="33"/>
      <c r="H4" s="34" t="s">
        <v>51</v>
      </c>
      <c r="I4" s="32"/>
      <c r="J4" s="33"/>
      <c r="K4" s="34" t="s">
        <v>51</v>
      </c>
      <c r="L4" s="32" t="s">
        <v>52</v>
      </c>
      <c r="M4" s="31" t="s">
        <v>53</v>
      </c>
      <c r="N4" s="35"/>
      <c r="O4" s="36"/>
    </row>
    <row r="5" spans="1:21" ht="21" customHeight="1">
      <c r="B5" s="37" t="s">
        <v>54</v>
      </c>
      <c r="C5" s="38" t="s">
        <v>55</v>
      </c>
      <c r="D5" s="39" t="s">
        <v>56</v>
      </c>
      <c r="E5" s="40" t="s">
        <v>57</v>
      </c>
      <c r="F5" s="41" t="s">
        <v>58</v>
      </c>
      <c r="G5" s="41" t="s">
        <v>59</v>
      </c>
      <c r="H5" s="42" t="s">
        <v>60</v>
      </c>
      <c r="I5" s="41" t="s">
        <v>61</v>
      </c>
      <c r="J5" s="41" t="s">
        <v>59</v>
      </c>
      <c r="K5" s="42" t="s">
        <v>60</v>
      </c>
      <c r="L5" s="43" t="s">
        <v>60</v>
      </c>
      <c r="M5" s="40" t="s">
        <v>55</v>
      </c>
      <c r="N5" s="40"/>
      <c r="O5" s="38" t="s">
        <v>62</v>
      </c>
      <c r="P5" s="17" t="s">
        <v>63</v>
      </c>
      <c r="Q5" s="17" t="s">
        <v>64</v>
      </c>
    </row>
    <row r="6" spans="1:21" ht="20.25" customHeight="1">
      <c r="A6" s="44"/>
      <c r="B6" s="45">
        <v>1</v>
      </c>
      <c r="C6" s="46" t="str">
        <f t="shared" ref="C6:C37" si="0">M6</f>
        <v>A1</v>
      </c>
      <c r="D6" s="47">
        <v>1</v>
      </c>
      <c r="E6" s="47" t="s">
        <v>65</v>
      </c>
      <c r="F6" s="48" t="s">
        <v>66</v>
      </c>
      <c r="G6" s="49" t="s">
        <v>67</v>
      </c>
      <c r="H6" s="48">
        <v>111</v>
      </c>
      <c r="I6" s="48" t="s">
        <v>68</v>
      </c>
      <c r="J6" s="47" t="s">
        <v>69</v>
      </c>
      <c r="K6" s="48">
        <v>111</v>
      </c>
      <c r="L6" s="50">
        <f t="shared" ref="L6:L37" si="1">H6+K6</f>
        <v>222</v>
      </c>
      <c r="M6" s="51" t="s">
        <v>70</v>
      </c>
      <c r="N6" s="52"/>
      <c r="O6" s="53"/>
      <c r="P6" s="504">
        <v>72</v>
      </c>
      <c r="Q6" s="504">
        <f>P6/2</f>
        <v>36</v>
      </c>
      <c r="S6" s="15" t="s">
        <v>560</v>
      </c>
      <c r="T6" s="15" t="s">
        <v>561</v>
      </c>
      <c r="U6" s="15" t="s">
        <v>1270</v>
      </c>
    </row>
    <row r="7" spans="1:21" ht="20.25" customHeight="1">
      <c r="A7" s="44"/>
      <c r="B7" s="45">
        <v>2</v>
      </c>
      <c r="C7" s="54" t="str">
        <f t="shared" si="0"/>
        <v>B1</v>
      </c>
      <c r="D7" s="55">
        <v>2</v>
      </c>
      <c r="E7" s="56" t="s">
        <v>71</v>
      </c>
      <c r="F7" s="56" t="s">
        <v>72</v>
      </c>
      <c r="G7" s="57" t="s">
        <v>73</v>
      </c>
      <c r="H7" s="56">
        <v>90.75</v>
      </c>
      <c r="I7" s="56" t="s">
        <v>74</v>
      </c>
      <c r="J7" s="55" t="s">
        <v>75</v>
      </c>
      <c r="K7" s="56">
        <v>112.5</v>
      </c>
      <c r="L7" s="50">
        <f t="shared" si="1"/>
        <v>203.25</v>
      </c>
      <c r="M7" s="58" t="s">
        <v>76</v>
      </c>
      <c r="N7" s="59"/>
      <c r="O7" s="60"/>
      <c r="P7" s="504">
        <v>120</v>
      </c>
      <c r="Q7" s="504">
        <f t="shared" ref="Q7:Q68" si="2">P7/2</f>
        <v>60</v>
      </c>
      <c r="S7" s="15" t="s">
        <v>562</v>
      </c>
      <c r="T7" s="15" t="s">
        <v>563</v>
      </c>
      <c r="U7" s="15" t="s">
        <v>89</v>
      </c>
    </row>
    <row r="8" spans="1:21" ht="20.25" customHeight="1">
      <c r="A8" s="44"/>
      <c r="B8" s="45">
        <v>3</v>
      </c>
      <c r="C8" s="54" t="str">
        <f t="shared" si="0"/>
        <v>C1</v>
      </c>
      <c r="D8" s="55">
        <v>3</v>
      </c>
      <c r="E8" s="55" t="s">
        <v>77</v>
      </c>
      <c r="F8" s="56" t="s">
        <v>78</v>
      </c>
      <c r="G8" s="57" t="s">
        <v>79</v>
      </c>
      <c r="H8" s="56">
        <v>90</v>
      </c>
      <c r="I8" s="56" t="s">
        <v>80</v>
      </c>
      <c r="J8" s="55" t="s">
        <v>81</v>
      </c>
      <c r="K8" s="56">
        <v>90</v>
      </c>
      <c r="L8" s="50">
        <f t="shared" si="1"/>
        <v>180</v>
      </c>
      <c r="M8" s="58" t="s">
        <v>82</v>
      </c>
      <c r="N8" s="59"/>
      <c r="O8" s="60"/>
      <c r="P8" s="504">
        <v>96</v>
      </c>
      <c r="Q8" s="504">
        <f t="shared" si="2"/>
        <v>48</v>
      </c>
      <c r="R8" s="61"/>
      <c r="S8" s="15" t="s">
        <v>565</v>
      </c>
      <c r="T8" s="15" t="s">
        <v>566</v>
      </c>
      <c r="U8" s="15" t="s">
        <v>544</v>
      </c>
    </row>
    <row r="9" spans="1:21" ht="20.25" customHeight="1">
      <c r="A9" s="44"/>
      <c r="B9" s="45">
        <v>4</v>
      </c>
      <c r="C9" s="54" t="str">
        <f t="shared" si="0"/>
        <v>D1</v>
      </c>
      <c r="D9" s="55">
        <v>4</v>
      </c>
      <c r="E9" s="57" t="s">
        <v>83</v>
      </c>
      <c r="F9" s="56" t="s">
        <v>84</v>
      </c>
      <c r="G9" s="57" t="s">
        <v>85</v>
      </c>
      <c r="H9" s="57">
        <v>87</v>
      </c>
      <c r="I9" s="56" t="s">
        <v>86</v>
      </c>
      <c r="J9" s="55" t="s">
        <v>87</v>
      </c>
      <c r="K9" s="56">
        <v>87</v>
      </c>
      <c r="L9" s="50">
        <f t="shared" si="1"/>
        <v>174</v>
      </c>
      <c r="M9" s="58" t="s">
        <v>88</v>
      </c>
      <c r="N9" s="59"/>
      <c r="O9" s="60"/>
      <c r="P9" s="504">
        <v>72</v>
      </c>
      <c r="Q9" s="504">
        <f t="shared" si="2"/>
        <v>36</v>
      </c>
      <c r="S9" s="15" t="s">
        <v>567</v>
      </c>
      <c r="T9" s="15" t="s">
        <v>568</v>
      </c>
      <c r="U9" s="15" t="s">
        <v>1264</v>
      </c>
    </row>
    <row r="10" spans="1:21" ht="20.25" customHeight="1">
      <c r="A10" s="44"/>
      <c r="B10" s="45">
        <v>5</v>
      </c>
      <c r="C10" s="54" t="str">
        <f t="shared" si="0"/>
        <v>E1</v>
      </c>
      <c r="D10" s="55">
        <v>5</v>
      </c>
      <c r="E10" s="55" t="s">
        <v>89</v>
      </c>
      <c r="F10" s="56" t="s">
        <v>90</v>
      </c>
      <c r="G10" s="57" t="s">
        <v>91</v>
      </c>
      <c r="H10" s="56">
        <v>82.5</v>
      </c>
      <c r="I10" s="56" t="s">
        <v>92</v>
      </c>
      <c r="J10" s="55" t="s">
        <v>93</v>
      </c>
      <c r="K10" s="56">
        <v>82.5</v>
      </c>
      <c r="L10" s="50">
        <f t="shared" si="1"/>
        <v>165</v>
      </c>
      <c r="M10" s="58" t="s">
        <v>94</v>
      </c>
      <c r="N10" s="59"/>
      <c r="O10" s="56"/>
      <c r="P10" s="504">
        <v>108</v>
      </c>
      <c r="Q10" s="504">
        <f t="shared" si="2"/>
        <v>54</v>
      </c>
      <c r="S10" s="15" t="s">
        <v>569</v>
      </c>
      <c r="T10" s="15" t="s">
        <v>570</v>
      </c>
      <c r="U10" s="15" t="s">
        <v>65</v>
      </c>
    </row>
    <row r="11" spans="1:21" ht="20.25" customHeight="1">
      <c r="A11" s="44"/>
      <c r="B11" s="45">
        <v>6</v>
      </c>
      <c r="C11" s="54" t="str">
        <f t="shared" si="0"/>
        <v>F1</v>
      </c>
      <c r="D11" s="55">
        <v>6</v>
      </c>
      <c r="E11" s="55" t="s">
        <v>95</v>
      </c>
      <c r="F11" s="56" t="s">
        <v>96</v>
      </c>
      <c r="G11" s="57" t="s">
        <v>97</v>
      </c>
      <c r="H11" s="56">
        <v>79.5</v>
      </c>
      <c r="I11" s="56" t="s">
        <v>98</v>
      </c>
      <c r="J11" s="55" t="s">
        <v>99</v>
      </c>
      <c r="K11" s="56">
        <v>79.5</v>
      </c>
      <c r="L11" s="50">
        <f t="shared" si="1"/>
        <v>159</v>
      </c>
      <c r="M11" s="58" t="s">
        <v>100</v>
      </c>
      <c r="N11" s="59"/>
      <c r="O11" s="60"/>
      <c r="P11" s="504">
        <v>48</v>
      </c>
      <c r="Q11" s="504">
        <f t="shared" si="2"/>
        <v>24</v>
      </c>
      <c r="U11" s="15" t="s">
        <v>564</v>
      </c>
    </row>
    <row r="12" spans="1:21" ht="20.25" customHeight="1">
      <c r="A12" s="44"/>
      <c r="B12" s="45">
        <v>7</v>
      </c>
      <c r="C12" s="54" t="str">
        <f t="shared" si="0"/>
        <v>G1</v>
      </c>
      <c r="D12" s="55">
        <v>7</v>
      </c>
      <c r="E12" s="57" t="s">
        <v>101</v>
      </c>
      <c r="F12" s="62" t="s">
        <v>102</v>
      </c>
      <c r="G12" s="57" t="s">
        <v>103</v>
      </c>
      <c r="H12" s="56">
        <v>85</v>
      </c>
      <c r="I12" s="56" t="s">
        <v>104</v>
      </c>
      <c r="J12" s="57" t="s">
        <v>105</v>
      </c>
      <c r="K12" s="56">
        <v>71.5</v>
      </c>
      <c r="L12" s="50">
        <f t="shared" si="1"/>
        <v>156.5</v>
      </c>
      <c r="M12" s="58" t="s">
        <v>106</v>
      </c>
      <c r="N12" s="59"/>
      <c r="O12" s="60"/>
      <c r="P12" s="504">
        <v>72</v>
      </c>
      <c r="Q12" s="504">
        <f t="shared" si="2"/>
        <v>36</v>
      </c>
      <c r="U12" s="15" t="s">
        <v>83</v>
      </c>
    </row>
    <row r="13" spans="1:21" ht="20.25" customHeight="1">
      <c r="A13" s="44"/>
      <c r="B13" s="45">
        <v>8</v>
      </c>
      <c r="C13" s="54" t="str">
        <f t="shared" si="0"/>
        <v>H1</v>
      </c>
      <c r="D13" s="55">
        <v>8</v>
      </c>
      <c r="E13" s="55" t="s">
        <v>107</v>
      </c>
      <c r="F13" s="56" t="s">
        <v>108</v>
      </c>
      <c r="G13" s="55" t="s">
        <v>109</v>
      </c>
      <c r="H13" s="56">
        <v>88.5</v>
      </c>
      <c r="I13" s="56" t="s">
        <v>110</v>
      </c>
      <c r="J13" s="55" t="s">
        <v>111</v>
      </c>
      <c r="K13" s="56">
        <v>66</v>
      </c>
      <c r="L13" s="50">
        <f t="shared" si="1"/>
        <v>154.5</v>
      </c>
      <c r="M13" s="58" t="s">
        <v>112</v>
      </c>
      <c r="N13" s="59"/>
      <c r="O13" s="60"/>
      <c r="P13" s="504">
        <v>54</v>
      </c>
      <c r="Q13" s="504">
        <f t="shared" si="2"/>
        <v>27</v>
      </c>
      <c r="U13" s="15" t="s">
        <v>101</v>
      </c>
    </row>
    <row r="14" spans="1:21" ht="20.25" customHeight="1">
      <c r="A14" s="44"/>
      <c r="B14" s="45">
        <v>9</v>
      </c>
      <c r="C14" s="54" t="str">
        <f t="shared" si="0"/>
        <v>H2</v>
      </c>
      <c r="D14" s="55">
        <v>9</v>
      </c>
      <c r="E14" s="55" t="s">
        <v>113</v>
      </c>
      <c r="F14" s="56" t="s">
        <v>114</v>
      </c>
      <c r="G14" s="57" t="s">
        <v>115</v>
      </c>
      <c r="H14" s="56">
        <v>70.5</v>
      </c>
      <c r="I14" s="56" t="s">
        <v>116</v>
      </c>
      <c r="J14" s="55" t="s">
        <v>117</v>
      </c>
      <c r="K14" s="56">
        <v>81</v>
      </c>
      <c r="L14" s="50">
        <f t="shared" si="1"/>
        <v>151.5</v>
      </c>
      <c r="M14" s="63" t="s">
        <v>118</v>
      </c>
      <c r="N14" s="52"/>
      <c r="O14" s="53"/>
      <c r="P14" s="504">
        <v>84</v>
      </c>
      <c r="Q14" s="504">
        <f t="shared" si="2"/>
        <v>42</v>
      </c>
      <c r="S14" s="15" t="s">
        <v>571</v>
      </c>
      <c r="T14" s="15" t="s">
        <v>572</v>
      </c>
      <c r="U14" s="15" t="s">
        <v>573</v>
      </c>
    </row>
    <row r="15" spans="1:21" ht="20.25" customHeight="1">
      <c r="A15" s="44"/>
      <c r="B15" s="45">
        <v>10</v>
      </c>
      <c r="C15" s="54" t="str">
        <f t="shared" si="0"/>
        <v>G2</v>
      </c>
      <c r="D15" s="55">
        <v>10</v>
      </c>
      <c r="E15" s="55" t="s">
        <v>119</v>
      </c>
      <c r="F15" s="56" t="s">
        <v>120</v>
      </c>
      <c r="G15" s="57" t="s">
        <v>121</v>
      </c>
      <c r="H15" s="56">
        <v>64.5</v>
      </c>
      <c r="I15" s="56" t="s">
        <v>122</v>
      </c>
      <c r="J15" s="55" t="s">
        <v>123</v>
      </c>
      <c r="K15" s="56">
        <v>64.5</v>
      </c>
      <c r="L15" s="50">
        <f t="shared" si="1"/>
        <v>129</v>
      </c>
      <c r="M15" s="58" t="s">
        <v>124</v>
      </c>
      <c r="N15" s="52"/>
      <c r="O15" s="60"/>
      <c r="P15" s="504">
        <v>48</v>
      </c>
      <c r="Q15" s="504">
        <f t="shared" si="2"/>
        <v>24</v>
      </c>
      <c r="U15" s="15" t="s">
        <v>222</v>
      </c>
    </row>
    <row r="16" spans="1:21" ht="20.25" customHeight="1">
      <c r="A16" s="44"/>
      <c r="B16" s="45">
        <v>11</v>
      </c>
      <c r="C16" s="54" t="str">
        <f t="shared" si="0"/>
        <v>F2</v>
      </c>
      <c r="D16" s="55">
        <v>11</v>
      </c>
      <c r="E16" s="55" t="s">
        <v>125</v>
      </c>
      <c r="F16" s="56" t="s">
        <v>126</v>
      </c>
      <c r="G16" s="55" t="s">
        <v>127</v>
      </c>
      <c r="H16" s="56">
        <v>59.25</v>
      </c>
      <c r="I16" s="56" t="s">
        <v>128</v>
      </c>
      <c r="J16" s="55" t="s">
        <v>129</v>
      </c>
      <c r="K16" s="56">
        <v>57.75</v>
      </c>
      <c r="L16" s="50">
        <f t="shared" si="1"/>
        <v>117</v>
      </c>
      <c r="M16" s="58" t="s">
        <v>130</v>
      </c>
      <c r="N16" s="52"/>
      <c r="O16" s="60"/>
      <c r="P16" s="504">
        <v>36</v>
      </c>
      <c r="Q16" s="504">
        <f t="shared" si="2"/>
        <v>18</v>
      </c>
      <c r="U16" s="15" t="s">
        <v>1278</v>
      </c>
    </row>
    <row r="17" spans="1:21" ht="20.25" customHeight="1">
      <c r="A17" s="44"/>
      <c r="B17" s="45">
        <v>12</v>
      </c>
      <c r="C17" s="54" t="str">
        <f t="shared" si="0"/>
        <v>E2</v>
      </c>
      <c r="D17" s="55">
        <v>12</v>
      </c>
      <c r="E17" s="55" t="s">
        <v>131</v>
      </c>
      <c r="F17" s="56" t="s">
        <v>132</v>
      </c>
      <c r="G17" s="57" t="s">
        <v>133</v>
      </c>
      <c r="H17" s="56">
        <v>55.5</v>
      </c>
      <c r="I17" s="56" t="s">
        <v>134</v>
      </c>
      <c r="J17" s="55" t="s">
        <v>135</v>
      </c>
      <c r="K17" s="56">
        <v>56.25</v>
      </c>
      <c r="L17" s="50">
        <f t="shared" si="1"/>
        <v>111.75</v>
      </c>
      <c r="M17" s="58" t="s">
        <v>136</v>
      </c>
      <c r="N17" s="59"/>
      <c r="O17" s="60"/>
      <c r="P17" s="504">
        <v>54</v>
      </c>
      <c r="Q17" s="504">
        <f t="shared" si="2"/>
        <v>27</v>
      </c>
      <c r="U17" s="15" t="s">
        <v>404</v>
      </c>
    </row>
    <row r="18" spans="1:21" ht="20.25" customHeight="1">
      <c r="A18" s="44"/>
      <c r="B18" s="45">
        <v>13</v>
      </c>
      <c r="C18" s="54" t="str">
        <f t="shared" si="0"/>
        <v>D2</v>
      </c>
      <c r="D18" s="55">
        <v>13</v>
      </c>
      <c r="E18" s="55" t="s">
        <v>137</v>
      </c>
      <c r="F18" s="56" t="s">
        <v>138</v>
      </c>
      <c r="G18" s="57" t="s">
        <v>139</v>
      </c>
      <c r="H18" s="56">
        <v>57</v>
      </c>
      <c r="I18" s="56" t="s">
        <v>140</v>
      </c>
      <c r="J18" s="55" t="s">
        <v>141</v>
      </c>
      <c r="K18" s="56">
        <v>54</v>
      </c>
      <c r="L18" s="50">
        <f t="shared" si="1"/>
        <v>111</v>
      </c>
      <c r="M18" s="58" t="s">
        <v>142</v>
      </c>
      <c r="N18" s="59"/>
      <c r="O18" s="60"/>
      <c r="P18" s="504">
        <v>48</v>
      </c>
      <c r="Q18" s="504">
        <f t="shared" si="2"/>
        <v>24</v>
      </c>
      <c r="U18" s="15" t="s">
        <v>161</v>
      </c>
    </row>
    <row r="19" spans="1:21" ht="20.25" customHeight="1">
      <c r="A19" s="44"/>
      <c r="B19" s="45">
        <v>14</v>
      </c>
      <c r="C19" s="54" t="str">
        <f t="shared" si="0"/>
        <v>C2</v>
      </c>
      <c r="D19" s="55">
        <v>14</v>
      </c>
      <c r="E19" s="55" t="s">
        <v>143</v>
      </c>
      <c r="F19" s="56" t="s">
        <v>144</v>
      </c>
      <c r="G19" s="57" t="s">
        <v>145</v>
      </c>
      <c r="H19" s="56">
        <v>79.5</v>
      </c>
      <c r="I19" s="56" t="s">
        <v>146</v>
      </c>
      <c r="J19" s="55" t="s">
        <v>147</v>
      </c>
      <c r="K19" s="56">
        <v>25.5</v>
      </c>
      <c r="L19" s="50">
        <f t="shared" si="1"/>
        <v>105</v>
      </c>
      <c r="M19" s="58" t="s">
        <v>148</v>
      </c>
      <c r="N19" s="59"/>
      <c r="O19" s="60"/>
      <c r="P19" s="504">
        <v>72</v>
      </c>
      <c r="Q19" s="504">
        <f t="shared" si="2"/>
        <v>36</v>
      </c>
      <c r="U19" s="15" t="s">
        <v>574</v>
      </c>
    </row>
    <row r="20" spans="1:21" ht="20.25" customHeight="1">
      <c r="A20" s="44"/>
      <c r="B20" s="45">
        <v>15</v>
      </c>
      <c r="C20" s="54" t="str">
        <f t="shared" si="0"/>
        <v>B2</v>
      </c>
      <c r="D20" s="55">
        <v>15</v>
      </c>
      <c r="E20" s="56" t="s">
        <v>149</v>
      </c>
      <c r="F20" s="56" t="s">
        <v>150</v>
      </c>
      <c r="G20" s="57" t="s">
        <v>151</v>
      </c>
      <c r="H20" s="56">
        <v>49.5</v>
      </c>
      <c r="I20" s="56" t="s">
        <v>152</v>
      </c>
      <c r="J20" s="55" t="s">
        <v>153</v>
      </c>
      <c r="K20" s="56">
        <v>49.5</v>
      </c>
      <c r="L20" s="50">
        <f t="shared" si="1"/>
        <v>99</v>
      </c>
      <c r="M20" s="58" t="s">
        <v>154</v>
      </c>
      <c r="N20" s="59"/>
      <c r="O20" s="60"/>
      <c r="P20" s="504">
        <v>54</v>
      </c>
      <c r="Q20" s="504">
        <f t="shared" si="2"/>
        <v>27</v>
      </c>
      <c r="R20" s="61"/>
      <c r="U20" s="15" t="s">
        <v>1279</v>
      </c>
    </row>
    <row r="21" spans="1:21" ht="20.25" customHeight="1">
      <c r="A21" s="44"/>
      <c r="B21" s="45">
        <v>16</v>
      </c>
      <c r="C21" s="54" t="str">
        <f t="shared" si="0"/>
        <v>A2</v>
      </c>
      <c r="D21" s="55">
        <v>16</v>
      </c>
      <c r="E21" s="56" t="s">
        <v>155</v>
      </c>
      <c r="F21" s="56" t="s">
        <v>156</v>
      </c>
      <c r="G21" s="57" t="s">
        <v>157</v>
      </c>
      <c r="H21" s="56">
        <v>48</v>
      </c>
      <c r="I21" s="56" t="s">
        <v>158</v>
      </c>
      <c r="J21" s="55" t="s">
        <v>159</v>
      </c>
      <c r="K21" s="56">
        <v>48</v>
      </c>
      <c r="L21" s="50">
        <f t="shared" si="1"/>
        <v>96</v>
      </c>
      <c r="M21" s="58" t="s">
        <v>160</v>
      </c>
      <c r="N21" s="59"/>
      <c r="O21" s="60"/>
      <c r="P21" s="504">
        <v>48</v>
      </c>
      <c r="Q21" s="504">
        <f t="shared" si="2"/>
        <v>24</v>
      </c>
      <c r="U21" s="15" t="s">
        <v>1280</v>
      </c>
    </row>
    <row r="22" spans="1:21" ht="20.25" customHeight="1">
      <c r="A22" s="44"/>
      <c r="B22" s="45">
        <v>17</v>
      </c>
      <c r="C22" s="54" t="str">
        <f t="shared" si="0"/>
        <v>A3</v>
      </c>
      <c r="D22" s="55">
        <v>17</v>
      </c>
      <c r="E22" s="55" t="s">
        <v>161</v>
      </c>
      <c r="F22" s="56" t="s">
        <v>162</v>
      </c>
      <c r="G22" s="57" t="s">
        <v>163</v>
      </c>
      <c r="H22" s="56">
        <v>43.5</v>
      </c>
      <c r="I22" s="56" t="s">
        <v>164</v>
      </c>
      <c r="J22" s="55" t="s">
        <v>165</v>
      </c>
      <c r="K22" s="56">
        <v>46.5</v>
      </c>
      <c r="L22" s="50">
        <f t="shared" si="1"/>
        <v>90</v>
      </c>
      <c r="M22" s="58" t="s">
        <v>166</v>
      </c>
      <c r="N22" s="59"/>
      <c r="O22" s="60"/>
      <c r="P22" s="504">
        <v>54</v>
      </c>
      <c r="Q22" s="504">
        <f t="shared" si="2"/>
        <v>27</v>
      </c>
      <c r="S22" s="15" t="s">
        <v>575</v>
      </c>
      <c r="T22" s="15" t="s">
        <v>576</v>
      </c>
      <c r="U22" s="15" t="s">
        <v>155</v>
      </c>
    </row>
    <row r="23" spans="1:21" ht="20.25" customHeight="1">
      <c r="A23" s="44"/>
      <c r="B23" s="45">
        <v>18</v>
      </c>
      <c r="C23" s="54" t="str">
        <f t="shared" si="0"/>
        <v>B3</v>
      </c>
      <c r="D23" s="55">
        <v>18</v>
      </c>
      <c r="E23" s="55" t="s">
        <v>167</v>
      </c>
      <c r="F23" s="56" t="s">
        <v>168</v>
      </c>
      <c r="G23" s="57" t="s">
        <v>169</v>
      </c>
      <c r="H23" s="56">
        <v>45</v>
      </c>
      <c r="I23" s="56" t="s">
        <v>170</v>
      </c>
      <c r="J23" s="55" t="s">
        <v>171</v>
      </c>
      <c r="K23" s="56">
        <v>36</v>
      </c>
      <c r="L23" s="50">
        <f t="shared" si="1"/>
        <v>81</v>
      </c>
      <c r="M23" s="58" t="s">
        <v>172</v>
      </c>
      <c r="N23" s="59"/>
      <c r="O23" s="60"/>
      <c r="P23" s="504">
        <v>48</v>
      </c>
      <c r="Q23" s="504">
        <f t="shared" si="2"/>
        <v>24</v>
      </c>
      <c r="U23" s="15" t="s">
        <v>167</v>
      </c>
    </row>
    <row r="24" spans="1:21" ht="20.25" customHeight="1">
      <c r="A24" s="44"/>
      <c r="B24" s="45">
        <v>19</v>
      </c>
      <c r="C24" s="54" t="str">
        <f t="shared" si="0"/>
        <v>C3</v>
      </c>
      <c r="D24" s="55">
        <v>19</v>
      </c>
      <c r="E24" s="56" t="s">
        <v>173</v>
      </c>
      <c r="F24" s="56" t="s">
        <v>174</v>
      </c>
      <c r="G24" s="57" t="s">
        <v>175</v>
      </c>
      <c r="H24" s="56">
        <v>45</v>
      </c>
      <c r="I24" s="56" t="s">
        <v>176</v>
      </c>
      <c r="J24" s="55" t="s">
        <v>177</v>
      </c>
      <c r="K24" s="56">
        <v>27</v>
      </c>
      <c r="L24" s="50">
        <f t="shared" si="1"/>
        <v>72</v>
      </c>
      <c r="M24" s="58" t="s">
        <v>178</v>
      </c>
      <c r="N24" s="59"/>
      <c r="O24" s="60"/>
      <c r="P24" s="504">
        <v>36</v>
      </c>
      <c r="Q24" s="504">
        <f t="shared" si="2"/>
        <v>18</v>
      </c>
      <c r="U24" s="15" t="s">
        <v>240</v>
      </c>
    </row>
    <row r="25" spans="1:21" ht="20.25" customHeight="1">
      <c r="A25" s="44"/>
      <c r="B25" s="45">
        <v>20</v>
      </c>
      <c r="C25" s="54" t="str">
        <f t="shared" si="0"/>
        <v>D3</v>
      </c>
      <c r="D25" s="55">
        <v>20</v>
      </c>
      <c r="E25" s="56" t="s">
        <v>179</v>
      </c>
      <c r="F25" s="56" t="s">
        <v>180</v>
      </c>
      <c r="G25" s="57" t="s">
        <v>181</v>
      </c>
      <c r="H25" s="56">
        <v>34.5</v>
      </c>
      <c r="I25" s="56" t="s">
        <v>182</v>
      </c>
      <c r="J25" s="55" t="s">
        <v>183</v>
      </c>
      <c r="K25" s="56">
        <v>34.5</v>
      </c>
      <c r="L25" s="50">
        <f t="shared" si="1"/>
        <v>69</v>
      </c>
      <c r="M25" s="58" t="s">
        <v>184</v>
      </c>
      <c r="N25" s="59"/>
      <c r="O25" s="60"/>
      <c r="P25" s="504">
        <v>36</v>
      </c>
      <c r="Q25" s="504">
        <f t="shared" si="2"/>
        <v>18</v>
      </c>
      <c r="U25" s="15" t="s">
        <v>137</v>
      </c>
    </row>
    <row r="26" spans="1:21" ht="20.25" customHeight="1">
      <c r="A26" s="44"/>
      <c r="B26" s="45">
        <v>21</v>
      </c>
      <c r="C26" s="54" t="str">
        <f t="shared" si="0"/>
        <v>E3</v>
      </c>
      <c r="D26" s="55">
        <v>21</v>
      </c>
      <c r="E26" s="62" t="s">
        <v>185</v>
      </c>
      <c r="F26" s="62" t="s">
        <v>186</v>
      </c>
      <c r="G26" s="57" t="s">
        <v>187</v>
      </c>
      <c r="H26" s="62">
        <v>33</v>
      </c>
      <c r="I26" s="56" t="s">
        <v>188</v>
      </c>
      <c r="J26" s="55" t="s">
        <v>189</v>
      </c>
      <c r="K26" s="56">
        <v>33</v>
      </c>
      <c r="L26" s="50">
        <f t="shared" si="1"/>
        <v>66</v>
      </c>
      <c r="M26" s="58" t="s">
        <v>190</v>
      </c>
      <c r="N26" s="59"/>
      <c r="O26" s="60"/>
      <c r="P26" s="504">
        <v>36</v>
      </c>
      <c r="Q26" s="504">
        <f t="shared" si="2"/>
        <v>18</v>
      </c>
      <c r="U26" s="15" t="s">
        <v>228</v>
      </c>
    </row>
    <row r="27" spans="1:21" ht="20.25" customHeight="1">
      <c r="A27" s="44"/>
      <c r="B27" s="45">
        <v>22</v>
      </c>
      <c r="C27" s="54" t="str">
        <f t="shared" si="0"/>
        <v>F3</v>
      </c>
      <c r="D27" s="55">
        <v>22</v>
      </c>
      <c r="E27" s="55" t="s">
        <v>191</v>
      </c>
      <c r="F27" s="56" t="s">
        <v>192</v>
      </c>
      <c r="G27" s="55" t="s">
        <v>193</v>
      </c>
      <c r="H27" s="56">
        <v>19.5</v>
      </c>
      <c r="I27" s="56" t="s">
        <v>194</v>
      </c>
      <c r="J27" s="55" t="s">
        <v>195</v>
      </c>
      <c r="K27" s="56">
        <v>42</v>
      </c>
      <c r="L27" s="50">
        <f t="shared" si="1"/>
        <v>61.5</v>
      </c>
      <c r="M27" s="58" t="s">
        <v>196</v>
      </c>
      <c r="N27" s="59"/>
      <c r="O27" s="60"/>
      <c r="P27" s="504">
        <v>54</v>
      </c>
      <c r="Q27" s="504">
        <f t="shared" si="2"/>
        <v>27</v>
      </c>
      <c r="U27" s="15" t="s">
        <v>577</v>
      </c>
    </row>
    <row r="28" spans="1:21" ht="20.25" customHeight="1">
      <c r="A28" s="44"/>
      <c r="B28" s="45">
        <v>23</v>
      </c>
      <c r="C28" s="54" t="str">
        <f t="shared" si="0"/>
        <v>G3</v>
      </c>
      <c r="D28" s="55">
        <v>23</v>
      </c>
      <c r="E28" s="56" t="s">
        <v>197</v>
      </c>
      <c r="F28" s="56" t="s">
        <v>198</v>
      </c>
      <c r="G28" s="55" t="s">
        <v>199</v>
      </c>
      <c r="H28" s="56">
        <v>25.5</v>
      </c>
      <c r="I28" s="56" t="s">
        <v>200</v>
      </c>
      <c r="J28" s="55" t="s">
        <v>201</v>
      </c>
      <c r="K28" s="56">
        <v>28.5</v>
      </c>
      <c r="L28" s="50">
        <f t="shared" si="1"/>
        <v>54</v>
      </c>
      <c r="M28" s="64" t="s">
        <v>202</v>
      </c>
      <c r="N28" s="65" t="s">
        <v>203</v>
      </c>
      <c r="O28" s="60"/>
      <c r="P28" s="504">
        <v>36</v>
      </c>
      <c r="Q28" s="504">
        <f t="shared" si="2"/>
        <v>18</v>
      </c>
      <c r="U28" s="15" t="s">
        <v>578</v>
      </c>
    </row>
    <row r="29" spans="1:21" ht="20.25" customHeight="1">
      <c r="A29" s="44"/>
      <c r="B29" s="45">
        <v>24</v>
      </c>
      <c r="C29" s="54" t="str">
        <f t="shared" si="0"/>
        <v>H3</v>
      </c>
      <c r="D29" s="55">
        <v>23</v>
      </c>
      <c r="E29" s="56" t="s">
        <v>204</v>
      </c>
      <c r="F29" s="56" t="s">
        <v>205</v>
      </c>
      <c r="G29" s="55" t="s">
        <v>206</v>
      </c>
      <c r="H29" s="56">
        <v>27</v>
      </c>
      <c r="I29" s="56" t="s">
        <v>207</v>
      </c>
      <c r="J29" s="55" t="s">
        <v>208</v>
      </c>
      <c r="K29" s="56">
        <v>27</v>
      </c>
      <c r="L29" s="50">
        <f t="shared" si="1"/>
        <v>54</v>
      </c>
      <c r="M29" s="64" t="s">
        <v>209</v>
      </c>
      <c r="N29" s="65" t="s">
        <v>203</v>
      </c>
      <c r="O29" s="60"/>
      <c r="P29" s="504">
        <v>36</v>
      </c>
      <c r="Q29" s="504">
        <f t="shared" si="2"/>
        <v>18</v>
      </c>
      <c r="U29" s="15" t="s">
        <v>289</v>
      </c>
    </row>
    <row r="30" spans="1:21" ht="20.25" customHeight="1">
      <c r="A30" s="44"/>
      <c r="B30" s="45">
        <v>25</v>
      </c>
      <c r="C30" s="54" t="str">
        <f t="shared" si="0"/>
        <v>SEED#25</v>
      </c>
      <c r="D30" s="55">
        <v>25</v>
      </c>
      <c r="E30" s="62" t="s">
        <v>210</v>
      </c>
      <c r="F30" s="56" t="s">
        <v>211</v>
      </c>
      <c r="G30" s="57" t="s">
        <v>212</v>
      </c>
      <c r="H30" s="62">
        <v>18</v>
      </c>
      <c r="I30" s="56" t="s">
        <v>213</v>
      </c>
      <c r="J30" s="55" t="s">
        <v>214</v>
      </c>
      <c r="K30" s="56">
        <v>34.5</v>
      </c>
      <c r="L30" s="50">
        <f t="shared" si="1"/>
        <v>52.5</v>
      </c>
      <c r="M30" s="58" t="s">
        <v>215</v>
      </c>
      <c r="N30" s="59"/>
      <c r="O30" s="60"/>
      <c r="P30" s="504">
        <v>6</v>
      </c>
      <c r="Q30" s="504">
        <f t="shared" si="2"/>
        <v>3</v>
      </c>
      <c r="S30" s="15" t="s">
        <v>579</v>
      </c>
      <c r="T30" s="15" t="s">
        <v>580</v>
      </c>
      <c r="U30" s="15" t="s">
        <v>1283</v>
      </c>
    </row>
    <row r="31" spans="1:21" ht="20.25" customHeight="1">
      <c r="A31" s="44"/>
      <c r="B31" s="45">
        <v>26</v>
      </c>
      <c r="C31" s="54" t="str">
        <f t="shared" si="0"/>
        <v>SEED#26</v>
      </c>
      <c r="D31" s="55">
        <v>26</v>
      </c>
      <c r="E31" s="62" t="s">
        <v>216</v>
      </c>
      <c r="F31" s="56" t="s">
        <v>217</v>
      </c>
      <c r="G31" s="57" t="s">
        <v>218</v>
      </c>
      <c r="H31" s="62">
        <v>25.5</v>
      </c>
      <c r="I31" s="56" t="s">
        <v>219</v>
      </c>
      <c r="J31" s="55" t="s">
        <v>220</v>
      </c>
      <c r="K31" s="56">
        <v>25.5</v>
      </c>
      <c r="L31" s="50">
        <f t="shared" si="1"/>
        <v>51</v>
      </c>
      <c r="M31" s="58" t="s">
        <v>221</v>
      </c>
      <c r="N31" s="59"/>
      <c r="O31" s="60"/>
      <c r="P31" s="504">
        <v>6</v>
      </c>
      <c r="Q31" s="504">
        <f t="shared" si="2"/>
        <v>3</v>
      </c>
      <c r="U31" s="15" t="s">
        <v>581</v>
      </c>
    </row>
    <row r="32" spans="1:21" ht="20.25" customHeight="1">
      <c r="A32" s="44"/>
      <c r="B32" s="45">
        <v>27</v>
      </c>
      <c r="C32" s="54" t="str">
        <f t="shared" si="0"/>
        <v>SEED#27</v>
      </c>
      <c r="D32" s="55">
        <v>27</v>
      </c>
      <c r="E32" s="57" t="s">
        <v>222</v>
      </c>
      <c r="F32" s="56" t="s">
        <v>223</v>
      </c>
      <c r="G32" s="57" t="s">
        <v>224</v>
      </c>
      <c r="H32" s="62">
        <v>47.25</v>
      </c>
      <c r="I32" s="56" t="s">
        <v>225</v>
      </c>
      <c r="J32" s="55" t="s">
        <v>226</v>
      </c>
      <c r="K32" s="56">
        <v>3</v>
      </c>
      <c r="L32" s="50">
        <f t="shared" si="1"/>
        <v>50.25</v>
      </c>
      <c r="M32" s="58" t="s">
        <v>227</v>
      </c>
      <c r="N32" s="59"/>
      <c r="O32" s="60"/>
      <c r="P32" s="504">
        <v>54</v>
      </c>
      <c r="Q32" s="504">
        <f t="shared" si="2"/>
        <v>27</v>
      </c>
      <c r="U32" s="15" t="s">
        <v>173</v>
      </c>
    </row>
    <row r="33" spans="1:21" ht="20.25" customHeight="1">
      <c r="A33" s="44"/>
      <c r="B33" s="45">
        <v>28</v>
      </c>
      <c r="C33" s="54" t="str">
        <f t="shared" si="0"/>
        <v>SEED#28</v>
      </c>
      <c r="D33" s="55">
        <v>28</v>
      </c>
      <c r="E33" s="57" t="s">
        <v>228</v>
      </c>
      <c r="F33" s="56" t="s">
        <v>229</v>
      </c>
      <c r="G33" s="57" t="s">
        <v>230</v>
      </c>
      <c r="H33" s="62">
        <v>24</v>
      </c>
      <c r="I33" s="56" t="s">
        <v>231</v>
      </c>
      <c r="J33" s="55" t="s">
        <v>232</v>
      </c>
      <c r="K33" s="56">
        <v>24</v>
      </c>
      <c r="L33" s="50">
        <f t="shared" si="1"/>
        <v>48</v>
      </c>
      <c r="M33" s="58" t="s">
        <v>233</v>
      </c>
      <c r="N33" s="59"/>
      <c r="O33" s="60"/>
      <c r="P33" s="504">
        <v>48</v>
      </c>
      <c r="Q33" s="504">
        <f t="shared" si="2"/>
        <v>24</v>
      </c>
      <c r="U33" s="15" t="s">
        <v>179</v>
      </c>
    </row>
    <row r="34" spans="1:21" ht="20.25" customHeight="1">
      <c r="A34" s="44"/>
      <c r="B34" s="45">
        <v>29</v>
      </c>
      <c r="C34" s="54" t="str">
        <f t="shared" si="0"/>
        <v>SEED#29</v>
      </c>
      <c r="D34" s="55">
        <v>29</v>
      </c>
      <c r="E34" s="55" t="s">
        <v>234</v>
      </c>
      <c r="F34" s="56" t="s">
        <v>235</v>
      </c>
      <c r="G34" s="57" t="s">
        <v>236</v>
      </c>
      <c r="H34" s="56">
        <v>4</v>
      </c>
      <c r="I34" s="56" t="s">
        <v>237</v>
      </c>
      <c r="J34" s="55" t="s">
        <v>238</v>
      </c>
      <c r="K34" s="56">
        <v>41</v>
      </c>
      <c r="L34" s="50">
        <f t="shared" si="1"/>
        <v>45</v>
      </c>
      <c r="M34" s="58" t="s">
        <v>239</v>
      </c>
      <c r="N34" s="59"/>
      <c r="O34" s="60"/>
      <c r="P34" s="504">
        <v>6</v>
      </c>
      <c r="Q34" s="504">
        <f t="shared" si="2"/>
        <v>3</v>
      </c>
      <c r="U34" s="15" t="s">
        <v>185</v>
      </c>
    </row>
    <row r="35" spans="1:21" ht="20.25" customHeight="1">
      <c r="A35" s="44"/>
      <c r="B35" s="45">
        <v>30</v>
      </c>
      <c r="C35" s="54" t="str">
        <f t="shared" si="0"/>
        <v>SEED#30</v>
      </c>
      <c r="D35" s="55">
        <v>29</v>
      </c>
      <c r="E35" s="56" t="s">
        <v>240</v>
      </c>
      <c r="F35" s="56" t="s">
        <v>241</v>
      </c>
      <c r="G35" s="55" t="s">
        <v>242</v>
      </c>
      <c r="H35" s="56">
        <v>19.5</v>
      </c>
      <c r="I35" s="56" t="s">
        <v>243</v>
      </c>
      <c r="J35" s="55" t="s">
        <v>244</v>
      </c>
      <c r="K35" s="56">
        <v>25.5</v>
      </c>
      <c r="L35" s="50">
        <f t="shared" si="1"/>
        <v>45</v>
      </c>
      <c r="M35" s="58" t="s">
        <v>245</v>
      </c>
      <c r="N35" s="59"/>
      <c r="O35" s="60"/>
      <c r="P35" s="504">
        <v>48</v>
      </c>
      <c r="Q35" s="504">
        <f t="shared" si="2"/>
        <v>24</v>
      </c>
      <c r="U35" s="15" t="s">
        <v>125</v>
      </c>
    </row>
    <row r="36" spans="1:21" ht="20.25" customHeight="1">
      <c r="A36" s="44"/>
      <c r="B36" s="45">
        <v>31</v>
      </c>
      <c r="C36" s="54" t="str">
        <f t="shared" si="0"/>
        <v>SEED#31</v>
      </c>
      <c r="D36" s="55">
        <v>31</v>
      </c>
      <c r="E36" s="56" t="s">
        <v>246</v>
      </c>
      <c r="F36" s="56" t="s">
        <v>247</v>
      </c>
      <c r="G36" s="57" t="s">
        <v>248</v>
      </c>
      <c r="H36" s="56">
        <v>0</v>
      </c>
      <c r="I36" s="56" t="s">
        <v>249</v>
      </c>
      <c r="J36" s="55" t="s">
        <v>250</v>
      </c>
      <c r="K36" s="56">
        <v>42.75</v>
      </c>
      <c r="L36" s="50">
        <f t="shared" si="1"/>
        <v>42.75</v>
      </c>
      <c r="M36" s="58" t="s">
        <v>251</v>
      </c>
      <c r="N36" s="59"/>
      <c r="O36" s="60"/>
      <c r="P36" s="504">
        <v>6</v>
      </c>
      <c r="Q36" s="504">
        <f t="shared" si="2"/>
        <v>3</v>
      </c>
      <c r="U36" s="15" t="s">
        <v>1281</v>
      </c>
    </row>
    <row r="37" spans="1:21" ht="20.25" customHeight="1">
      <c r="A37" s="44"/>
      <c r="B37" s="45">
        <v>32</v>
      </c>
      <c r="C37" s="54" t="str">
        <f t="shared" si="0"/>
        <v>SEED#32</v>
      </c>
      <c r="D37" s="55">
        <v>32</v>
      </c>
      <c r="E37" s="55" t="s">
        <v>252</v>
      </c>
      <c r="F37" s="56" t="s">
        <v>253</v>
      </c>
      <c r="G37" s="57" t="s">
        <v>254</v>
      </c>
      <c r="H37" s="56">
        <v>42</v>
      </c>
      <c r="I37" s="56" t="s">
        <v>255</v>
      </c>
      <c r="J37" s="66" t="s">
        <v>256</v>
      </c>
      <c r="K37" s="56">
        <v>0</v>
      </c>
      <c r="L37" s="50">
        <f t="shared" si="1"/>
        <v>42</v>
      </c>
      <c r="M37" s="58" t="s">
        <v>257</v>
      </c>
      <c r="N37" s="59"/>
      <c r="O37" s="60"/>
      <c r="P37" s="504">
        <v>6</v>
      </c>
      <c r="Q37" s="504">
        <f t="shared" si="2"/>
        <v>3</v>
      </c>
      <c r="U37" s="15" t="s">
        <v>204</v>
      </c>
    </row>
    <row r="38" spans="1:21" ht="20.25" customHeight="1">
      <c r="A38" s="44"/>
      <c r="B38" s="45">
        <v>33</v>
      </c>
      <c r="C38" s="54" t="str">
        <f t="shared" ref="C38:C68" si="3">M38</f>
        <v>SEED#33</v>
      </c>
      <c r="D38" s="55">
        <v>33</v>
      </c>
      <c r="E38" s="56" t="s">
        <v>258</v>
      </c>
      <c r="F38" s="56" t="s">
        <v>259</v>
      </c>
      <c r="G38" s="57" t="s">
        <v>260</v>
      </c>
      <c r="H38" s="56">
        <v>11</v>
      </c>
      <c r="I38" s="56" t="s">
        <v>261</v>
      </c>
      <c r="J38" s="55" t="s">
        <v>262</v>
      </c>
      <c r="K38" s="56">
        <v>11</v>
      </c>
      <c r="L38" s="50">
        <f t="shared" ref="L38:L68" si="4">H38+K38</f>
        <v>22</v>
      </c>
      <c r="M38" s="58" t="s">
        <v>263</v>
      </c>
      <c r="N38" s="59"/>
      <c r="O38" s="60"/>
      <c r="P38" s="504">
        <v>36</v>
      </c>
      <c r="Q38" s="504">
        <f t="shared" si="2"/>
        <v>18</v>
      </c>
      <c r="S38" s="15" t="s">
        <v>582</v>
      </c>
      <c r="T38" s="15" t="s">
        <v>583</v>
      </c>
      <c r="U38" s="15" t="s">
        <v>383</v>
      </c>
    </row>
    <row r="39" spans="1:21" ht="20.25" customHeight="1">
      <c r="A39" s="44"/>
      <c r="B39" s="45">
        <v>34</v>
      </c>
      <c r="C39" s="54" t="str">
        <f t="shared" si="3"/>
        <v>SEED#34</v>
      </c>
      <c r="D39" s="55">
        <v>34</v>
      </c>
      <c r="E39" s="56" t="s">
        <v>264</v>
      </c>
      <c r="F39" s="56" t="s">
        <v>265</v>
      </c>
      <c r="G39" s="57" t="s">
        <v>266</v>
      </c>
      <c r="H39" s="56">
        <v>6</v>
      </c>
      <c r="I39" s="56" t="s">
        <v>267</v>
      </c>
      <c r="J39" s="55" t="s">
        <v>268</v>
      </c>
      <c r="K39" s="56">
        <v>13</v>
      </c>
      <c r="L39" s="50">
        <f t="shared" si="4"/>
        <v>19</v>
      </c>
      <c r="M39" s="58" t="s">
        <v>269</v>
      </c>
      <c r="N39" s="59"/>
      <c r="O39" s="60"/>
      <c r="P39" s="504">
        <v>36</v>
      </c>
      <c r="Q39" s="504">
        <f t="shared" si="2"/>
        <v>18</v>
      </c>
      <c r="U39" s="15" t="s">
        <v>252</v>
      </c>
    </row>
    <row r="40" spans="1:21" ht="20.25" customHeight="1">
      <c r="A40" s="44"/>
      <c r="B40" s="45">
        <v>35</v>
      </c>
      <c r="C40" s="54" t="str">
        <f t="shared" si="3"/>
        <v>SEED#35</v>
      </c>
      <c r="D40" s="55">
        <v>35</v>
      </c>
      <c r="E40" s="55" t="s">
        <v>270</v>
      </c>
      <c r="F40" s="56" t="s">
        <v>271</v>
      </c>
      <c r="G40" s="57" t="s">
        <v>272</v>
      </c>
      <c r="H40" s="56">
        <v>18</v>
      </c>
      <c r="I40" s="56" t="s">
        <v>273</v>
      </c>
      <c r="J40" s="55" t="s">
        <v>274</v>
      </c>
      <c r="K40" s="56">
        <v>0</v>
      </c>
      <c r="L40" s="50">
        <f t="shared" si="4"/>
        <v>18</v>
      </c>
      <c r="M40" s="58" t="s">
        <v>275</v>
      </c>
      <c r="N40" s="59"/>
      <c r="O40" s="67"/>
      <c r="P40" s="504">
        <v>6</v>
      </c>
      <c r="Q40" s="504">
        <f t="shared" si="2"/>
        <v>3</v>
      </c>
      <c r="U40" s="15" t="s">
        <v>316</v>
      </c>
    </row>
    <row r="41" spans="1:21" ht="20.25" customHeight="1">
      <c r="A41" s="44"/>
      <c r="B41" s="45">
        <v>36</v>
      </c>
      <c r="C41" s="54" t="str">
        <f t="shared" si="3"/>
        <v>SEED#36</v>
      </c>
      <c r="D41" s="55">
        <v>36</v>
      </c>
      <c r="E41" s="57" t="s">
        <v>276</v>
      </c>
      <c r="F41" s="56" t="s">
        <v>277</v>
      </c>
      <c r="G41" s="57" t="s">
        <v>278</v>
      </c>
      <c r="H41" s="62">
        <v>7.5</v>
      </c>
      <c r="I41" s="56" t="s">
        <v>279</v>
      </c>
      <c r="J41" s="55" t="s">
        <v>280</v>
      </c>
      <c r="K41" s="56">
        <v>3.75</v>
      </c>
      <c r="L41" s="50">
        <f t="shared" si="4"/>
        <v>11.25</v>
      </c>
      <c r="M41" s="58" t="s">
        <v>281</v>
      </c>
      <c r="N41" s="59"/>
      <c r="O41" s="60"/>
      <c r="P41" s="504">
        <v>6</v>
      </c>
      <c r="Q41" s="504">
        <f t="shared" si="2"/>
        <v>3</v>
      </c>
      <c r="U41" s="15" t="s">
        <v>295</v>
      </c>
    </row>
    <row r="42" spans="1:21" ht="20.25" customHeight="1">
      <c r="A42" s="44"/>
      <c r="B42" s="45">
        <v>37</v>
      </c>
      <c r="C42" s="54" t="str">
        <f t="shared" si="3"/>
        <v>SEED#38</v>
      </c>
      <c r="D42" s="55">
        <v>37</v>
      </c>
      <c r="E42" s="55" t="s">
        <v>282</v>
      </c>
      <c r="F42" s="56" t="s">
        <v>283</v>
      </c>
      <c r="G42" s="57" t="s">
        <v>284</v>
      </c>
      <c r="H42" s="56">
        <v>3</v>
      </c>
      <c r="I42" s="56" t="s">
        <v>285</v>
      </c>
      <c r="J42" s="55" t="s">
        <v>286</v>
      </c>
      <c r="K42" s="56">
        <v>3</v>
      </c>
      <c r="L42" s="50">
        <f t="shared" si="4"/>
        <v>6</v>
      </c>
      <c r="M42" s="64" t="s">
        <v>287</v>
      </c>
      <c r="N42" s="65" t="s">
        <v>288</v>
      </c>
      <c r="O42" s="68"/>
      <c r="P42" s="504">
        <v>0</v>
      </c>
      <c r="Q42" s="504">
        <f t="shared" si="2"/>
        <v>0</v>
      </c>
      <c r="U42" s="15" t="s">
        <v>374</v>
      </c>
    </row>
    <row r="43" spans="1:21" ht="20.25" customHeight="1">
      <c r="A43" s="44"/>
      <c r="B43" s="45">
        <v>38</v>
      </c>
      <c r="C43" s="54" t="str">
        <f t="shared" si="3"/>
        <v>SEED#40</v>
      </c>
      <c r="D43" s="55">
        <v>37</v>
      </c>
      <c r="E43" s="62" t="s">
        <v>289</v>
      </c>
      <c r="F43" s="56" t="s">
        <v>290</v>
      </c>
      <c r="G43" s="57" t="s">
        <v>291</v>
      </c>
      <c r="H43" s="62">
        <v>0</v>
      </c>
      <c r="I43" s="56" t="s">
        <v>292</v>
      </c>
      <c r="J43" s="55" t="s">
        <v>293</v>
      </c>
      <c r="K43" s="56">
        <v>6</v>
      </c>
      <c r="L43" s="50">
        <f t="shared" si="4"/>
        <v>6</v>
      </c>
      <c r="M43" s="64" t="s">
        <v>294</v>
      </c>
      <c r="N43" s="65" t="s">
        <v>288</v>
      </c>
      <c r="O43" s="60"/>
      <c r="P43" s="504">
        <v>48</v>
      </c>
      <c r="Q43" s="504">
        <f t="shared" si="2"/>
        <v>24</v>
      </c>
      <c r="U43" s="15" t="s">
        <v>246</v>
      </c>
    </row>
    <row r="44" spans="1:21" ht="20.25" customHeight="1">
      <c r="A44" s="44"/>
      <c r="B44" s="45">
        <v>39</v>
      </c>
      <c r="C44" s="54" t="str">
        <f t="shared" si="3"/>
        <v>SEED#37</v>
      </c>
      <c r="D44" s="55">
        <v>37</v>
      </c>
      <c r="E44" s="62" t="s">
        <v>295</v>
      </c>
      <c r="F44" s="56" t="s">
        <v>296</v>
      </c>
      <c r="G44" s="57" t="s">
        <v>297</v>
      </c>
      <c r="H44" s="62">
        <v>0</v>
      </c>
      <c r="I44" s="56" t="s">
        <v>298</v>
      </c>
      <c r="J44" s="55" t="s">
        <v>299</v>
      </c>
      <c r="K44" s="62">
        <v>6</v>
      </c>
      <c r="L44" s="50">
        <f t="shared" si="4"/>
        <v>6</v>
      </c>
      <c r="M44" s="64" t="s">
        <v>300</v>
      </c>
      <c r="N44" s="65" t="s">
        <v>288</v>
      </c>
      <c r="O44" s="53"/>
      <c r="P44" s="504">
        <v>6</v>
      </c>
      <c r="Q44" s="504">
        <f t="shared" si="2"/>
        <v>3</v>
      </c>
      <c r="U44" s="15" t="s">
        <v>1282</v>
      </c>
    </row>
    <row r="45" spans="1:21" ht="20.25" customHeight="1">
      <c r="A45" s="44"/>
      <c r="B45" s="45">
        <v>40</v>
      </c>
      <c r="C45" s="54" t="str">
        <f t="shared" si="3"/>
        <v>SEED#39</v>
      </c>
      <c r="D45" s="55">
        <v>37</v>
      </c>
      <c r="E45" s="55" t="s">
        <v>301</v>
      </c>
      <c r="F45" s="56" t="s">
        <v>302</v>
      </c>
      <c r="G45" s="66" t="s">
        <v>256</v>
      </c>
      <c r="H45" s="56">
        <v>0</v>
      </c>
      <c r="I45" s="56" t="s">
        <v>303</v>
      </c>
      <c r="J45" s="55" t="s">
        <v>304</v>
      </c>
      <c r="K45" s="56">
        <v>6</v>
      </c>
      <c r="L45" s="50">
        <f t="shared" si="4"/>
        <v>6</v>
      </c>
      <c r="M45" s="64" t="s">
        <v>305</v>
      </c>
      <c r="N45" s="65" t="s">
        <v>288</v>
      </c>
      <c r="O45" s="60"/>
      <c r="P45" s="504">
        <v>6</v>
      </c>
      <c r="Q45" s="504">
        <f t="shared" si="2"/>
        <v>3</v>
      </c>
      <c r="U45" s="15" t="s">
        <v>210</v>
      </c>
    </row>
    <row r="46" spans="1:21" ht="20.25" customHeight="1">
      <c r="A46" s="44"/>
      <c r="B46" s="45">
        <v>41</v>
      </c>
      <c r="C46" s="54" t="str">
        <f t="shared" si="3"/>
        <v>SEED#41</v>
      </c>
      <c r="D46" s="55">
        <v>41</v>
      </c>
      <c r="E46" s="56" t="s">
        <v>306</v>
      </c>
      <c r="F46" s="56" t="s">
        <v>307</v>
      </c>
      <c r="G46" s="57" t="s">
        <v>308</v>
      </c>
      <c r="H46" s="56">
        <v>3</v>
      </c>
      <c r="I46" s="56" t="s">
        <v>309</v>
      </c>
      <c r="J46" s="66" t="s">
        <v>256</v>
      </c>
      <c r="K46" s="56">
        <v>0</v>
      </c>
      <c r="L46" s="50">
        <f t="shared" si="4"/>
        <v>3</v>
      </c>
      <c r="M46" s="58" t="s">
        <v>310</v>
      </c>
      <c r="N46" s="69"/>
      <c r="O46" s="60"/>
      <c r="P46" s="504">
        <v>6</v>
      </c>
      <c r="Q46" s="504">
        <f t="shared" si="2"/>
        <v>3</v>
      </c>
      <c r="U46" s="15" t="s">
        <v>306</v>
      </c>
    </row>
    <row r="47" spans="1:21" ht="20.25" customHeight="1">
      <c r="A47" s="44"/>
      <c r="B47" s="70">
        <v>42</v>
      </c>
      <c r="C47" s="54" t="str">
        <f t="shared" si="3"/>
        <v>SEED#48</v>
      </c>
      <c r="D47" s="55">
        <v>41</v>
      </c>
      <c r="E47" s="55" t="s">
        <v>311</v>
      </c>
      <c r="F47" s="56" t="s">
        <v>312</v>
      </c>
      <c r="G47" s="66" t="s">
        <v>256</v>
      </c>
      <c r="H47" s="56">
        <v>0</v>
      </c>
      <c r="I47" s="56" t="s">
        <v>313</v>
      </c>
      <c r="J47" s="66" t="s">
        <v>256</v>
      </c>
      <c r="K47" s="56">
        <v>0</v>
      </c>
      <c r="L47" s="71">
        <f t="shared" si="4"/>
        <v>0</v>
      </c>
      <c r="M47" s="64" t="s">
        <v>314</v>
      </c>
      <c r="N47" s="65" t="s">
        <v>315</v>
      </c>
      <c r="O47" s="60"/>
      <c r="P47" s="504">
        <v>6</v>
      </c>
      <c r="Q47" s="504">
        <f t="shared" si="2"/>
        <v>3</v>
      </c>
      <c r="U47" s="15" t="s">
        <v>311</v>
      </c>
    </row>
    <row r="48" spans="1:21" ht="20.25" customHeight="1">
      <c r="B48" s="70">
        <v>43</v>
      </c>
      <c r="C48" s="54" t="str">
        <f t="shared" si="3"/>
        <v>SEED#61</v>
      </c>
      <c r="D48" s="55">
        <v>41</v>
      </c>
      <c r="E48" s="48" t="s">
        <v>316</v>
      </c>
      <c r="F48" s="48" t="s">
        <v>317</v>
      </c>
      <c r="G48" s="49" t="s">
        <v>318</v>
      </c>
      <c r="H48" s="48">
        <v>0</v>
      </c>
      <c r="I48" s="48" t="s">
        <v>319</v>
      </c>
      <c r="J48" s="47" t="s">
        <v>320</v>
      </c>
      <c r="K48" s="48">
        <v>0</v>
      </c>
      <c r="L48" s="71">
        <f t="shared" si="4"/>
        <v>0</v>
      </c>
      <c r="M48" s="64" t="s">
        <v>321</v>
      </c>
      <c r="N48" s="65" t="s">
        <v>315</v>
      </c>
      <c r="O48" s="53"/>
      <c r="P48" s="504">
        <v>6</v>
      </c>
      <c r="Q48" s="504">
        <f t="shared" si="2"/>
        <v>3</v>
      </c>
      <c r="U48" s="15" t="s">
        <v>379</v>
      </c>
    </row>
    <row r="49" spans="2:21" ht="20.25" customHeight="1">
      <c r="B49" s="70">
        <v>44</v>
      </c>
      <c r="C49" s="54" t="str">
        <f t="shared" si="3"/>
        <v>SEED#50</v>
      </c>
      <c r="D49" s="55">
        <v>41</v>
      </c>
      <c r="E49" s="55" t="s">
        <v>322</v>
      </c>
      <c r="F49" s="56" t="s">
        <v>323</v>
      </c>
      <c r="G49" s="57" t="s">
        <v>324</v>
      </c>
      <c r="H49" s="56">
        <v>0</v>
      </c>
      <c r="I49" s="56" t="s">
        <v>325</v>
      </c>
      <c r="J49" s="66" t="s">
        <v>256</v>
      </c>
      <c r="K49" s="56">
        <v>0</v>
      </c>
      <c r="L49" s="71">
        <f t="shared" si="4"/>
        <v>0</v>
      </c>
      <c r="M49" s="64" t="s">
        <v>326</v>
      </c>
      <c r="N49" s="65" t="s">
        <v>315</v>
      </c>
      <c r="O49" s="60"/>
      <c r="P49" s="504">
        <v>6</v>
      </c>
      <c r="Q49" s="504">
        <f t="shared" si="2"/>
        <v>3</v>
      </c>
      <c r="U49" s="15" t="s">
        <v>234</v>
      </c>
    </row>
    <row r="50" spans="2:21" ht="20.25" customHeight="1">
      <c r="B50" s="72">
        <v>45</v>
      </c>
      <c r="C50" s="54" t="str">
        <f t="shared" si="3"/>
        <v>SEED#44</v>
      </c>
      <c r="D50" s="55">
        <v>41</v>
      </c>
      <c r="E50" s="55" t="s">
        <v>327</v>
      </c>
      <c r="F50" s="56" t="s">
        <v>328</v>
      </c>
      <c r="G50" s="66" t="s">
        <v>256</v>
      </c>
      <c r="H50" s="56">
        <v>0</v>
      </c>
      <c r="I50" s="56" t="s">
        <v>329</v>
      </c>
      <c r="J50" s="66" t="s">
        <v>256</v>
      </c>
      <c r="K50" s="56">
        <v>0</v>
      </c>
      <c r="L50" s="71">
        <f t="shared" si="4"/>
        <v>0</v>
      </c>
      <c r="M50" s="64" t="s">
        <v>330</v>
      </c>
      <c r="N50" s="65" t="s">
        <v>315</v>
      </c>
      <c r="O50" s="60"/>
      <c r="P50" s="504">
        <v>6</v>
      </c>
      <c r="Q50" s="504">
        <f t="shared" si="2"/>
        <v>3</v>
      </c>
      <c r="U50" s="15" t="s">
        <v>276</v>
      </c>
    </row>
    <row r="51" spans="2:21" ht="20.25" customHeight="1">
      <c r="B51" s="72">
        <v>46</v>
      </c>
      <c r="C51" s="54" t="str">
        <f t="shared" si="3"/>
        <v>SEED#59</v>
      </c>
      <c r="D51" s="55">
        <v>41</v>
      </c>
      <c r="E51" s="55" t="s">
        <v>331</v>
      </c>
      <c r="F51" s="56" t="s">
        <v>332</v>
      </c>
      <c r="G51" s="57" t="s">
        <v>333</v>
      </c>
      <c r="H51" s="56">
        <v>0</v>
      </c>
      <c r="I51" s="56" t="s">
        <v>334</v>
      </c>
      <c r="J51" s="55" t="s">
        <v>335</v>
      </c>
      <c r="K51" s="56">
        <v>0</v>
      </c>
      <c r="L51" s="71">
        <f t="shared" si="4"/>
        <v>0</v>
      </c>
      <c r="M51" s="64" t="s">
        <v>336</v>
      </c>
      <c r="N51" s="65" t="s">
        <v>315</v>
      </c>
      <c r="O51" s="56"/>
      <c r="P51" s="504">
        <v>6</v>
      </c>
      <c r="Q51" s="504">
        <f t="shared" si="2"/>
        <v>3</v>
      </c>
      <c r="U51" s="15" t="s">
        <v>327</v>
      </c>
    </row>
    <row r="52" spans="2:21" ht="20.25" customHeight="1">
      <c r="B52" s="72">
        <v>47</v>
      </c>
      <c r="C52" s="54" t="str">
        <f t="shared" si="3"/>
        <v>SEED#54</v>
      </c>
      <c r="D52" s="55">
        <v>41</v>
      </c>
      <c r="E52" s="55" t="s">
        <v>337</v>
      </c>
      <c r="F52" s="56" t="s">
        <v>338</v>
      </c>
      <c r="G52" s="66" t="s">
        <v>256</v>
      </c>
      <c r="H52" s="56">
        <v>0</v>
      </c>
      <c r="I52" s="56" t="s">
        <v>339</v>
      </c>
      <c r="J52" s="66" t="s">
        <v>256</v>
      </c>
      <c r="K52" s="56">
        <v>0</v>
      </c>
      <c r="L52" s="71">
        <f t="shared" si="4"/>
        <v>0</v>
      </c>
      <c r="M52" s="64" t="s">
        <v>340</v>
      </c>
      <c r="N52" s="65" t="s">
        <v>315</v>
      </c>
      <c r="O52" s="56"/>
      <c r="P52" s="504">
        <v>0</v>
      </c>
      <c r="Q52" s="504">
        <f t="shared" si="2"/>
        <v>0</v>
      </c>
      <c r="U52" s="15" t="s">
        <v>409</v>
      </c>
    </row>
    <row r="53" spans="2:21" ht="20.25" customHeight="1">
      <c r="B53" s="72">
        <v>48</v>
      </c>
      <c r="C53" s="54" t="str">
        <f t="shared" si="3"/>
        <v>SEED#60</v>
      </c>
      <c r="D53" s="55">
        <v>41</v>
      </c>
      <c r="E53" s="55" t="s">
        <v>341</v>
      </c>
      <c r="F53" s="56" t="s">
        <v>342</v>
      </c>
      <c r="G53" s="66" t="s">
        <v>256</v>
      </c>
      <c r="H53" s="56">
        <v>0</v>
      </c>
      <c r="I53" s="56" t="s">
        <v>343</v>
      </c>
      <c r="J53" s="55" t="s">
        <v>344</v>
      </c>
      <c r="K53" s="56">
        <v>0</v>
      </c>
      <c r="L53" s="71">
        <f t="shared" si="4"/>
        <v>0</v>
      </c>
      <c r="M53" s="64" t="s">
        <v>345</v>
      </c>
      <c r="N53" s="65" t="s">
        <v>315</v>
      </c>
      <c r="O53" s="56"/>
      <c r="P53" s="504">
        <v>6</v>
      </c>
      <c r="Q53" s="504">
        <f t="shared" si="2"/>
        <v>3</v>
      </c>
      <c r="U53" s="15" t="s">
        <v>331</v>
      </c>
    </row>
    <row r="54" spans="2:21" ht="20.25" customHeight="1">
      <c r="B54" s="72">
        <v>49</v>
      </c>
      <c r="C54" s="54" t="str">
        <f t="shared" si="3"/>
        <v>SEED#51</v>
      </c>
      <c r="D54" s="55">
        <v>41</v>
      </c>
      <c r="E54" s="56" t="s">
        <v>346</v>
      </c>
      <c r="F54" s="56" t="s">
        <v>347</v>
      </c>
      <c r="G54" s="66" t="s">
        <v>256</v>
      </c>
      <c r="H54" s="56">
        <v>0</v>
      </c>
      <c r="I54" s="56" t="s">
        <v>348</v>
      </c>
      <c r="J54" s="55" t="s">
        <v>349</v>
      </c>
      <c r="K54" s="56">
        <v>0</v>
      </c>
      <c r="L54" s="71">
        <f t="shared" si="4"/>
        <v>0</v>
      </c>
      <c r="M54" s="64" t="s">
        <v>350</v>
      </c>
      <c r="N54" s="65" t="s">
        <v>315</v>
      </c>
      <c r="O54" s="56"/>
      <c r="P54" s="504">
        <v>6</v>
      </c>
      <c r="Q54" s="504">
        <f t="shared" si="2"/>
        <v>3</v>
      </c>
      <c r="U54" s="15" t="s">
        <v>270</v>
      </c>
    </row>
    <row r="55" spans="2:21">
      <c r="B55" s="72">
        <v>50</v>
      </c>
      <c r="C55" s="54" t="str">
        <f t="shared" si="3"/>
        <v>SEED#52</v>
      </c>
      <c r="D55" s="55">
        <v>41</v>
      </c>
      <c r="E55" s="55" t="s">
        <v>351</v>
      </c>
      <c r="F55" s="56" t="s">
        <v>352</v>
      </c>
      <c r="G55" s="57" t="s">
        <v>353</v>
      </c>
      <c r="H55" s="56">
        <v>0</v>
      </c>
      <c r="I55" s="56" t="s">
        <v>354</v>
      </c>
      <c r="J55" s="55" t="s">
        <v>355</v>
      </c>
      <c r="K55" s="56">
        <v>0</v>
      </c>
      <c r="L55" s="71">
        <f t="shared" si="4"/>
        <v>0</v>
      </c>
      <c r="M55" s="64" t="s">
        <v>356</v>
      </c>
      <c r="N55" s="65" t="s">
        <v>315</v>
      </c>
      <c r="O55" s="68"/>
      <c r="P55" s="505">
        <v>0</v>
      </c>
      <c r="Q55" s="504">
        <f t="shared" si="2"/>
        <v>0</v>
      </c>
      <c r="U55" s="15" t="s">
        <v>346</v>
      </c>
    </row>
    <row r="56" spans="2:21">
      <c r="B56" s="72">
        <v>51</v>
      </c>
      <c r="C56" s="54" t="str">
        <f t="shared" si="3"/>
        <v>SEED#46</v>
      </c>
      <c r="D56" s="55">
        <v>41</v>
      </c>
      <c r="E56" s="56" t="s">
        <v>357</v>
      </c>
      <c r="F56" s="56" t="s">
        <v>358</v>
      </c>
      <c r="G56" s="57" t="s">
        <v>359</v>
      </c>
      <c r="H56" s="56">
        <v>0</v>
      </c>
      <c r="I56" s="56" t="s">
        <v>360</v>
      </c>
      <c r="J56" s="55" t="s">
        <v>361</v>
      </c>
      <c r="K56" s="56">
        <v>0</v>
      </c>
      <c r="L56" s="71">
        <f t="shared" si="4"/>
        <v>0</v>
      </c>
      <c r="M56" s="64" t="s">
        <v>362</v>
      </c>
      <c r="N56" s="65" t="s">
        <v>315</v>
      </c>
      <c r="O56" s="68"/>
      <c r="P56" s="505">
        <v>6</v>
      </c>
      <c r="Q56" s="504">
        <f t="shared" si="2"/>
        <v>3</v>
      </c>
      <c r="U56" s="15" t="s">
        <v>322</v>
      </c>
    </row>
    <row r="57" spans="2:21">
      <c r="B57" s="72">
        <v>52</v>
      </c>
      <c r="C57" s="54" t="str">
        <f t="shared" si="3"/>
        <v>SEED#47</v>
      </c>
      <c r="D57" s="55">
        <v>41</v>
      </c>
      <c r="E57" s="56" t="s">
        <v>363</v>
      </c>
      <c r="F57" s="56" t="s">
        <v>364</v>
      </c>
      <c r="G57" s="57" t="s">
        <v>365</v>
      </c>
      <c r="H57" s="56">
        <v>0</v>
      </c>
      <c r="I57" s="56" t="s">
        <v>366</v>
      </c>
      <c r="J57" s="55" t="s">
        <v>367</v>
      </c>
      <c r="K57" s="56">
        <v>0</v>
      </c>
      <c r="L57" s="71">
        <f t="shared" si="4"/>
        <v>0</v>
      </c>
      <c r="M57" s="64" t="s">
        <v>368</v>
      </c>
      <c r="N57" s="65" t="s">
        <v>315</v>
      </c>
      <c r="O57" s="68"/>
      <c r="P57" s="505">
        <v>6</v>
      </c>
      <c r="Q57" s="504">
        <f t="shared" si="2"/>
        <v>3</v>
      </c>
      <c r="U57" s="15" t="s">
        <v>363</v>
      </c>
    </row>
    <row r="58" spans="2:21">
      <c r="B58" s="72">
        <v>53</v>
      </c>
      <c r="C58" s="54" t="str">
        <f t="shared" si="3"/>
        <v>SEED#58</v>
      </c>
      <c r="D58" s="55">
        <v>41</v>
      </c>
      <c r="E58" s="55" t="s">
        <v>369</v>
      </c>
      <c r="F58" s="56" t="s">
        <v>370</v>
      </c>
      <c r="G58" s="57" t="s">
        <v>371</v>
      </c>
      <c r="H58" s="56">
        <v>0</v>
      </c>
      <c r="I58" s="55" t="s">
        <v>372</v>
      </c>
      <c r="J58" s="66" t="s">
        <v>256</v>
      </c>
      <c r="K58" s="56">
        <v>0</v>
      </c>
      <c r="L58" s="71">
        <f t="shared" si="4"/>
        <v>0</v>
      </c>
      <c r="M58" s="64" t="s">
        <v>373</v>
      </c>
      <c r="N58" s="65" t="s">
        <v>315</v>
      </c>
      <c r="O58" s="68"/>
      <c r="P58" s="505">
        <v>54</v>
      </c>
      <c r="Q58" s="504">
        <f t="shared" si="2"/>
        <v>27</v>
      </c>
      <c r="U58" s="15" t="s">
        <v>398</v>
      </c>
    </row>
    <row r="59" spans="2:21">
      <c r="B59" s="72">
        <v>54</v>
      </c>
      <c r="C59" s="54" t="str">
        <f t="shared" si="3"/>
        <v>SEED#43</v>
      </c>
      <c r="D59" s="55">
        <v>41</v>
      </c>
      <c r="E59" s="56" t="s">
        <v>374</v>
      </c>
      <c r="F59" s="56" t="s">
        <v>375</v>
      </c>
      <c r="G59" s="57" t="s">
        <v>376</v>
      </c>
      <c r="H59" s="56">
        <v>0</v>
      </c>
      <c r="I59" s="56" t="s">
        <v>377</v>
      </c>
      <c r="J59" s="66" t="s">
        <v>256</v>
      </c>
      <c r="K59" s="56">
        <v>0</v>
      </c>
      <c r="L59" s="71">
        <f t="shared" si="4"/>
        <v>0</v>
      </c>
      <c r="M59" s="64" t="s">
        <v>378</v>
      </c>
      <c r="N59" s="65" t="s">
        <v>315</v>
      </c>
      <c r="O59" s="68"/>
      <c r="P59" s="505">
        <v>6</v>
      </c>
      <c r="Q59" s="504">
        <f t="shared" si="2"/>
        <v>3</v>
      </c>
      <c r="U59" s="15" t="s">
        <v>585</v>
      </c>
    </row>
    <row r="60" spans="2:21">
      <c r="B60" s="72">
        <v>55</v>
      </c>
      <c r="C60" s="54" t="str">
        <f t="shared" si="3"/>
        <v>SEED#49</v>
      </c>
      <c r="D60" s="55">
        <v>41</v>
      </c>
      <c r="E60" s="55" t="s">
        <v>379</v>
      </c>
      <c r="F60" s="56" t="s">
        <v>380</v>
      </c>
      <c r="G60" s="66" t="s">
        <v>256</v>
      </c>
      <c r="H60" s="56">
        <v>0</v>
      </c>
      <c r="I60" s="56" t="s">
        <v>381</v>
      </c>
      <c r="J60" s="66" t="s">
        <v>256</v>
      </c>
      <c r="K60" s="56">
        <v>0</v>
      </c>
      <c r="L60" s="71">
        <f t="shared" si="4"/>
        <v>0</v>
      </c>
      <c r="M60" s="64" t="s">
        <v>382</v>
      </c>
      <c r="N60" s="65" t="s">
        <v>315</v>
      </c>
      <c r="O60" s="68"/>
      <c r="P60" s="505">
        <v>6</v>
      </c>
      <c r="Q60" s="504">
        <f t="shared" si="2"/>
        <v>3</v>
      </c>
      <c r="U60" s="15" t="s">
        <v>357</v>
      </c>
    </row>
    <row r="61" spans="2:21">
      <c r="B61" s="72">
        <v>56</v>
      </c>
      <c r="C61" s="54" t="str">
        <f t="shared" si="3"/>
        <v>SEED#56</v>
      </c>
      <c r="D61" s="55">
        <v>41</v>
      </c>
      <c r="E61" s="56" t="s">
        <v>383</v>
      </c>
      <c r="F61" s="74" t="s">
        <v>384</v>
      </c>
      <c r="G61" s="66" t="s">
        <v>256</v>
      </c>
      <c r="H61" s="56">
        <v>0</v>
      </c>
      <c r="I61" s="56" t="s">
        <v>385</v>
      </c>
      <c r="J61" s="55" t="s">
        <v>386</v>
      </c>
      <c r="K61" s="56">
        <v>0</v>
      </c>
      <c r="L61" s="71">
        <f t="shared" si="4"/>
        <v>0</v>
      </c>
      <c r="M61" s="64" t="s">
        <v>387</v>
      </c>
      <c r="N61" s="65" t="s">
        <v>315</v>
      </c>
      <c r="O61" s="68"/>
      <c r="P61" s="505">
        <v>6</v>
      </c>
      <c r="Q61" s="504">
        <f t="shared" si="2"/>
        <v>3</v>
      </c>
      <c r="U61" s="15" t="s">
        <v>388</v>
      </c>
    </row>
    <row r="62" spans="2:21">
      <c r="B62" s="72">
        <v>57</v>
      </c>
      <c r="C62" s="54" t="str">
        <f t="shared" si="3"/>
        <v>SEED#57</v>
      </c>
      <c r="D62" s="55">
        <v>41</v>
      </c>
      <c r="E62" s="56" t="s">
        <v>388</v>
      </c>
      <c r="F62" s="56" t="s">
        <v>389</v>
      </c>
      <c r="G62" s="66" t="s">
        <v>256</v>
      </c>
      <c r="H62" s="56">
        <v>0</v>
      </c>
      <c r="I62" s="56" t="s">
        <v>390</v>
      </c>
      <c r="J62" s="66" t="s">
        <v>256</v>
      </c>
      <c r="K62" s="56">
        <v>0</v>
      </c>
      <c r="L62" s="71">
        <f t="shared" si="4"/>
        <v>0</v>
      </c>
      <c r="M62" s="64" t="s">
        <v>391</v>
      </c>
      <c r="N62" s="65" t="s">
        <v>315</v>
      </c>
      <c r="O62" s="68"/>
      <c r="P62" s="505">
        <v>6</v>
      </c>
      <c r="Q62" s="504">
        <f t="shared" si="2"/>
        <v>3</v>
      </c>
      <c r="U62" s="15" t="s">
        <v>341</v>
      </c>
    </row>
    <row r="63" spans="2:21">
      <c r="B63" s="72">
        <v>58</v>
      </c>
      <c r="C63" s="54" t="str">
        <f t="shared" si="3"/>
        <v>SEED#55</v>
      </c>
      <c r="D63" s="55">
        <v>41</v>
      </c>
      <c r="E63" s="56" t="s">
        <v>392</v>
      </c>
      <c r="F63" s="56" t="s">
        <v>393</v>
      </c>
      <c r="G63" s="55" t="s">
        <v>394</v>
      </c>
      <c r="H63" s="56">
        <v>0</v>
      </c>
      <c r="I63" s="56" t="s">
        <v>395</v>
      </c>
      <c r="J63" s="55" t="s">
        <v>396</v>
      </c>
      <c r="K63" s="56">
        <v>0</v>
      </c>
      <c r="L63" s="71">
        <f t="shared" si="4"/>
        <v>0</v>
      </c>
      <c r="M63" s="64" t="s">
        <v>397</v>
      </c>
      <c r="N63" s="65" t="s">
        <v>315</v>
      </c>
      <c r="O63" s="68"/>
      <c r="P63" s="505">
        <v>6</v>
      </c>
      <c r="Q63" s="504">
        <f t="shared" si="2"/>
        <v>3</v>
      </c>
      <c r="U63" s="15" t="s">
        <v>413</v>
      </c>
    </row>
    <row r="64" spans="2:21">
      <c r="B64" s="72">
        <v>59</v>
      </c>
      <c r="C64" s="54" t="str">
        <f t="shared" si="3"/>
        <v>SEED#42</v>
      </c>
      <c r="D64" s="55">
        <v>41</v>
      </c>
      <c r="E64" s="57" t="s">
        <v>398</v>
      </c>
      <c r="F64" s="62" t="s">
        <v>399</v>
      </c>
      <c r="G64" s="57" t="s">
        <v>400</v>
      </c>
      <c r="H64" s="62">
        <v>0</v>
      </c>
      <c r="I64" s="56" t="s">
        <v>401</v>
      </c>
      <c r="J64" s="55" t="s">
        <v>402</v>
      </c>
      <c r="K64" s="56">
        <v>0</v>
      </c>
      <c r="L64" s="71">
        <f t="shared" si="4"/>
        <v>0</v>
      </c>
      <c r="M64" s="64" t="s">
        <v>403</v>
      </c>
      <c r="N64" s="65" t="s">
        <v>315</v>
      </c>
      <c r="O64" s="68"/>
      <c r="P64" s="505">
        <v>6</v>
      </c>
      <c r="Q64" s="504">
        <f t="shared" si="2"/>
        <v>3</v>
      </c>
      <c r="U64" s="15" t="s">
        <v>588</v>
      </c>
    </row>
    <row r="65" spans="2:21">
      <c r="B65" s="72">
        <v>60</v>
      </c>
      <c r="C65" s="54" t="str">
        <f t="shared" si="3"/>
        <v>SEED#45</v>
      </c>
      <c r="D65" s="55">
        <v>41</v>
      </c>
      <c r="E65" s="57" t="s">
        <v>404</v>
      </c>
      <c r="F65" s="55" t="s">
        <v>405</v>
      </c>
      <c r="G65" s="57" t="s">
        <v>406</v>
      </c>
      <c r="H65" s="62">
        <v>0</v>
      </c>
      <c r="I65" s="55" t="s">
        <v>407</v>
      </c>
      <c r="J65" s="66" t="s">
        <v>256</v>
      </c>
      <c r="K65" s="56">
        <v>0</v>
      </c>
      <c r="L65" s="71">
        <f t="shared" si="4"/>
        <v>0</v>
      </c>
      <c r="M65" s="64" t="s">
        <v>408</v>
      </c>
      <c r="N65" s="65" t="s">
        <v>315</v>
      </c>
      <c r="O65" s="68"/>
      <c r="P65" s="505">
        <v>54</v>
      </c>
      <c r="Q65" s="504">
        <f t="shared" si="2"/>
        <v>27</v>
      </c>
      <c r="T65" s="15" t="s">
        <v>586</v>
      </c>
      <c r="U65" s="15" t="s">
        <v>351</v>
      </c>
    </row>
    <row r="66" spans="2:21">
      <c r="B66" s="72">
        <v>61</v>
      </c>
      <c r="C66" s="54" t="str">
        <f t="shared" si="3"/>
        <v>SEED#53</v>
      </c>
      <c r="D66" s="55">
        <v>41</v>
      </c>
      <c r="E66" s="57" t="s">
        <v>409</v>
      </c>
      <c r="F66" s="56" t="s">
        <v>410</v>
      </c>
      <c r="G66" s="66" t="s">
        <v>256</v>
      </c>
      <c r="H66" s="62">
        <v>0</v>
      </c>
      <c r="I66" s="56" t="s">
        <v>411</v>
      </c>
      <c r="J66" s="66" t="s">
        <v>256</v>
      </c>
      <c r="K66" s="62">
        <v>0</v>
      </c>
      <c r="L66" s="71">
        <f t="shared" si="4"/>
        <v>0</v>
      </c>
      <c r="M66" s="64" t="s">
        <v>412</v>
      </c>
      <c r="N66" s="65" t="s">
        <v>315</v>
      </c>
      <c r="O66" s="68"/>
      <c r="P66" s="505">
        <v>6</v>
      </c>
      <c r="Q66" s="504">
        <f t="shared" si="2"/>
        <v>3</v>
      </c>
      <c r="U66" s="15" t="s">
        <v>587</v>
      </c>
    </row>
    <row r="67" spans="2:21">
      <c r="B67" s="72">
        <v>62</v>
      </c>
      <c r="C67" s="54" t="str">
        <f t="shared" si="3"/>
        <v>SEED#62</v>
      </c>
      <c r="D67" s="55">
        <v>41</v>
      </c>
      <c r="E67" s="57" t="s">
        <v>413</v>
      </c>
      <c r="F67" s="56" t="s">
        <v>414</v>
      </c>
      <c r="G67" s="66" t="s">
        <v>256</v>
      </c>
      <c r="H67" s="62">
        <v>0</v>
      </c>
      <c r="I67" s="56" t="s">
        <v>415</v>
      </c>
      <c r="J67" s="66" t="s">
        <v>256</v>
      </c>
      <c r="K67" s="62">
        <v>0</v>
      </c>
      <c r="L67" s="71">
        <f t="shared" si="4"/>
        <v>0</v>
      </c>
      <c r="M67" s="64" t="s">
        <v>416</v>
      </c>
      <c r="N67" s="65" t="s">
        <v>315</v>
      </c>
      <c r="O67" s="68"/>
      <c r="P67" s="505">
        <v>6</v>
      </c>
      <c r="Q67" s="504">
        <f t="shared" si="2"/>
        <v>3</v>
      </c>
      <c r="U67" s="15" t="s">
        <v>282</v>
      </c>
    </row>
    <row r="68" spans="2:21">
      <c r="B68" s="72">
        <v>63</v>
      </c>
      <c r="C68" s="54" t="str">
        <f t="shared" si="3"/>
        <v>SEED#63</v>
      </c>
      <c r="D68" s="55">
        <v>41</v>
      </c>
      <c r="E68" s="62" t="s">
        <v>417</v>
      </c>
      <c r="F68" s="56" t="s">
        <v>418</v>
      </c>
      <c r="G68" s="57" t="s">
        <v>419</v>
      </c>
      <c r="H68" s="62">
        <v>0</v>
      </c>
      <c r="I68" s="56" t="s">
        <v>420</v>
      </c>
      <c r="J68" s="66" t="s">
        <v>256</v>
      </c>
      <c r="K68" s="62">
        <v>0</v>
      </c>
      <c r="L68" s="71">
        <f t="shared" si="4"/>
        <v>0</v>
      </c>
      <c r="M68" s="75" t="s">
        <v>421</v>
      </c>
      <c r="N68" s="65" t="s">
        <v>315</v>
      </c>
      <c r="O68" s="68"/>
      <c r="P68" s="505">
        <v>0</v>
      </c>
      <c r="Q68" s="504">
        <f t="shared" si="2"/>
        <v>0</v>
      </c>
      <c r="U68" s="15" t="s">
        <v>417</v>
      </c>
    </row>
    <row r="69" spans="2:21" hidden="1">
      <c r="B69" s="72">
        <v>64</v>
      </c>
      <c r="C69" s="56">
        <f t="shared" ref="C69:C100" si="5">N69</f>
        <v>0</v>
      </c>
      <c r="D69" s="62"/>
      <c r="E69" s="62"/>
      <c r="F69" s="76"/>
      <c r="G69" s="62"/>
      <c r="H69" s="62"/>
      <c r="I69" s="77"/>
      <c r="J69" s="62"/>
      <c r="K69" s="56"/>
      <c r="L69" s="77"/>
      <c r="M69" s="48"/>
      <c r="N69" s="78"/>
      <c r="O69" s="68"/>
      <c r="P69" s="73"/>
    </row>
    <row r="70" spans="2:21" hidden="1">
      <c r="B70" s="72">
        <v>65</v>
      </c>
      <c r="C70" s="56">
        <f t="shared" si="5"/>
        <v>0</v>
      </c>
      <c r="D70" s="62"/>
      <c r="E70" s="62"/>
      <c r="F70" s="76"/>
      <c r="G70" s="62"/>
      <c r="H70" s="62"/>
      <c r="I70" s="77"/>
      <c r="J70" s="62"/>
      <c r="K70" s="56"/>
      <c r="L70" s="77"/>
      <c r="M70" s="56"/>
      <c r="N70" s="78"/>
      <c r="O70" s="68"/>
      <c r="P70" s="73"/>
    </row>
    <row r="71" spans="2:21" hidden="1">
      <c r="B71" s="72">
        <v>66</v>
      </c>
      <c r="C71" s="56">
        <f t="shared" si="5"/>
        <v>0</v>
      </c>
      <c r="D71" s="62"/>
      <c r="E71" s="62"/>
      <c r="F71" s="76"/>
      <c r="G71" s="62"/>
      <c r="H71" s="62"/>
      <c r="I71" s="77"/>
      <c r="J71" s="62"/>
      <c r="K71" s="56"/>
      <c r="L71" s="77"/>
      <c r="M71" s="56"/>
      <c r="N71" s="78"/>
      <c r="O71" s="68"/>
      <c r="P71" s="73"/>
    </row>
    <row r="72" spans="2:21" hidden="1">
      <c r="B72" s="72">
        <v>67</v>
      </c>
      <c r="C72" s="56">
        <f t="shared" si="5"/>
        <v>0</v>
      </c>
      <c r="D72" s="62"/>
      <c r="E72" s="62"/>
      <c r="F72" s="76"/>
      <c r="G72" s="62"/>
      <c r="H72" s="62"/>
      <c r="I72" s="77"/>
      <c r="J72" s="62"/>
      <c r="K72" s="56"/>
      <c r="L72" s="77"/>
      <c r="M72" s="56"/>
      <c r="N72" s="78"/>
      <c r="O72" s="68"/>
      <c r="P72" s="73"/>
    </row>
    <row r="73" spans="2:21" hidden="1">
      <c r="B73" s="72">
        <v>68</v>
      </c>
      <c r="C73" s="56">
        <f t="shared" si="5"/>
        <v>0</v>
      </c>
      <c r="D73" s="62"/>
      <c r="E73" s="62"/>
      <c r="F73" s="76"/>
      <c r="G73" s="62"/>
      <c r="H73" s="62"/>
      <c r="I73" s="77"/>
      <c r="J73" s="62"/>
      <c r="K73" s="56"/>
      <c r="L73" s="77"/>
      <c r="M73" s="56"/>
      <c r="N73" s="78"/>
      <c r="O73" s="68"/>
      <c r="P73" s="73"/>
    </row>
    <row r="74" spans="2:21" hidden="1">
      <c r="B74" s="72">
        <v>69</v>
      </c>
      <c r="C74" s="56">
        <f t="shared" si="5"/>
        <v>0</v>
      </c>
      <c r="D74" s="62"/>
      <c r="E74" s="62"/>
      <c r="F74" s="76"/>
      <c r="G74" s="62"/>
      <c r="H74" s="62"/>
      <c r="I74" s="77"/>
      <c r="J74" s="62"/>
      <c r="K74" s="56"/>
      <c r="L74" s="77"/>
      <c r="M74" s="56"/>
      <c r="N74" s="78"/>
      <c r="O74" s="68"/>
      <c r="P74" s="73"/>
    </row>
    <row r="75" spans="2:21" hidden="1">
      <c r="B75" s="72">
        <v>70</v>
      </c>
      <c r="C75" s="56">
        <f t="shared" si="5"/>
        <v>0</v>
      </c>
      <c r="D75" s="62"/>
      <c r="E75" s="62"/>
      <c r="F75" s="76"/>
      <c r="G75" s="62"/>
      <c r="H75" s="62"/>
      <c r="I75" s="77"/>
      <c r="J75" s="62"/>
      <c r="K75" s="56"/>
      <c r="L75" s="77"/>
      <c r="M75" s="56"/>
      <c r="N75" s="78"/>
      <c r="O75" s="68"/>
      <c r="P75" s="73"/>
    </row>
    <row r="76" spans="2:21" hidden="1">
      <c r="B76" s="72">
        <v>71</v>
      </c>
      <c r="C76" s="56">
        <f t="shared" si="5"/>
        <v>0</v>
      </c>
      <c r="D76" s="62"/>
      <c r="E76" s="62"/>
      <c r="F76" s="76"/>
      <c r="G76" s="62"/>
      <c r="H76" s="62"/>
      <c r="I76" s="77"/>
      <c r="J76" s="62"/>
      <c r="K76" s="56"/>
      <c r="L76" s="77"/>
      <c r="M76" s="56"/>
      <c r="N76" s="78"/>
      <c r="O76" s="68"/>
      <c r="P76" s="73"/>
    </row>
    <row r="77" spans="2:21" hidden="1">
      <c r="B77" s="72">
        <v>72</v>
      </c>
      <c r="C77" s="56">
        <f t="shared" si="5"/>
        <v>0</v>
      </c>
      <c r="D77" s="62"/>
      <c r="E77" s="62"/>
      <c r="F77" s="76"/>
      <c r="G77" s="62"/>
      <c r="H77" s="62"/>
      <c r="I77" s="77"/>
      <c r="J77" s="62"/>
      <c r="K77" s="56"/>
      <c r="L77" s="77"/>
      <c r="M77" s="56"/>
      <c r="N77" s="78"/>
      <c r="O77" s="68"/>
      <c r="P77" s="73"/>
    </row>
    <row r="78" spans="2:21" hidden="1">
      <c r="B78" s="72">
        <v>73</v>
      </c>
      <c r="C78" s="56">
        <f t="shared" si="5"/>
        <v>0</v>
      </c>
      <c r="D78" s="62"/>
      <c r="E78" s="62"/>
      <c r="F78" s="76"/>
      <c r="G78" s="62"/>
      <c r="H78" s="62"/>
      <c r="I78" s="77"/>
      <c r="J78" s="62"/>
      <c r="K78" s="56"/>
      <c r="L78" s="77"/>
      <c r="M78" s="56"/>
      <c r="N78" s="78"/>
      <c r="O78" s="68"/>
      <c r="P78" s="73"/>
    </row>
    <row r="79" spans="2:21" hidden="1">
      <c r="B79" s="72">
        <v>74</v>
      </c>
      <c r="C79" s="56">
        <f t="shared" si="5"/>
        <v>0</v>
      </c>
      <c r="D79" s="62"/>
      <c r="E79" s="78"/>
      <c r="F79" s="76"/>
      <c r="G79" s="62"/>
      <c r="H79" s="62"/>
      <c r="I79" s="77"/>
      <c r="J79" s="62"/>
      <c r="K79" s="56"/>
      <c r="L79" s="77"/>
      <c r="M79" s="56"/>
      <c r="N79" s="78"/>
      <c r="O79" s="68"/>
      <c r="P79" s="73"/>
    </row>
    <row r="80" spans="2:21" hidden="1">
      <c r="B80" s="72">
        <v>75</v>
      </c>
      <c r="C80" s="56">
        <f t="shared" si="5"/>
        <v>0</v>
      </c>
      <c r="D80" s="62"/>
      <c r="E80" s="78"/>
      <c r="F80" s="76"/>
      <c r="G80" s="62"/>
      <c r="H80" s="62"/>
      <c r="I80" s="77"/>
      <c r="J80" s="62"/>
      <c r="K80" s="56"/>
      <c r="L80" s="77"/>
      <c r="M80" s="56"/>
      <c r="N80" s="78"/>
      <c r="O80" s="68"/>
      <c r="P80" s="73"/>
    </row>
    <row r="81" spans="2:16" hidden="1">
      <c r="B81" s="72">
        <v>76</v>
      </c>
      <c r="C81" s="56">
        <f t="shared" si="5"/>
        <v>0</v>
      </c>
      <c r="D81" s="62"/>
      <c r="E81" s="78"/>
      <c r="F81" s="76"/>
      <c r="G81" s="62"/>
      <c r="H81" s="62"/>
      <c r="I81" s="77"/>
      <c r="J81" s="62"/>
      <c r="K81" s="56"/>
      <c r="L81" s="77"/>
      <c r="M81" s="56"/>
      <c r="N81" s="78"/>
      <c r="O81" s="68"/>
      <c r="P81" s="73"/>
    </row>
    <row r="82" spans="2:16" hidden="1">
      <c r="B82" s="72">
        <v>77</v>
      </c>
      <c r="C82" s="56">
        <f t="shared" si="5"/>
        <v>0</v>
      </c>
      <c r="D82" s="62"/>
      <c r="E82" s="78"/>
      <c r="F82" s="76"/>
      <c r="G82" s="62"/>
      <c r="H82" s="62"/>
      <c r="I82" s="77"/>
      <c r="J82" s="62"/>
      <c r="K82" s="56"/>
      <c r="L82" s="77"/>
      <c r="M82" s="56"/>
      <c r="N82" s="78"/>
      <c r="O82" s="68"/>
      <c r="P82" s="73"/>
    </row>
    <row r="83" spans="2:16" hidden="1">
      <c r="B83" s="72">
        <v>78</v>
      </c>
      <c r="C83" s="56">
        <f t="shared" si="5"/>
        <v>0</v>
      </c>
      <c r="D83" s="62"/>
      <c r="E83" s="78"/>
      <c r="F83" s="76"/>
      <c r="G83" s="62"/>
      <c r="H83" s="62"/>
      <c r="I83" s="77"/>
      <c r="J83" s="62"/>
      <c r="K83" s="56"/>
      <c r="L83" s="77"/>
      <c r="M83" s="56"/>
      <c r="N83" s="78"/>
      <c r="O83" s="68"/>
      <c r="P83" s="73"/>
    </row>
    <row r="84" spans="2:16" hidden="1">
      <c r="B84" s="72">
        <v>79</v>
      </c>
      <c r="C84" s="56">
        <f t="shared" si="5"/>
        <v>0</v>
      </c>
      <c r="D84" s="62"/>
      <c r="E84" s="78"/>
      <c r="F84" s="76"/>
      <c r="G84" s="62"/>
      <c r="H84" s="62"/>
      <c r="I84" s="77"/>
      <c r="J84" s="62"/>
      <c r="K84" s="56"/>
      <c r="L84" s="77"/>
      <c r="M84" s="56"/>
      <c r="N84" s="78"/>
      <c r="O84" s="68"/>
      <c r="P84" s="73"/>
    </row>
    <row r="85" spans="2:16" hidden="1">
      <c r="B85" s="72">
        <v>80</v>
      </c>
      <c r="C85" s="56">
        <f t="shared" si="5"/>
        <v>0</v>
      </c>
      <c r="D85" s="62"/>
      <c r="E85" s="78"/>
      <c r="F85" s="76"/>
      <c r="G85" s="62"/>
      <c r="H85" s="62"/>
      <c r="I85" s="77"/>
      <c r="J85" s="62"/>
      <c r="K85" s="56"/>
      <c r="L85" s="77"/>
      <c r="M85" s="56"/>
      <c r="N85" s="78"/>
      <c r="O85" s="68"/>
      <c r="P85" s="73"/>
    </row>
    <row r="86" spans="2:16" hidden="1">
      <c r="B86" s="72">
        <v>81</v>
      </c>
      <c r="C86" s="56">
        <f t="shared" si="5"/>
        <v>0</v>
      </c>
      <c r="D86" s="62"/>
      <c r="E86" s="78"/>
      <c r="F86" s="76"/>
      <c r="G86" s="62"/>
      <c r="H86" s="62"/>
      <c r="I86" s="77"/>
      <c r="J86" s="62"/>
      <c r="K86" s="56"/>
      <c r="L86" s="77"/>
      <c r="M86" s="56"/>
      <c r="N86" s="78"/>
      <c r="O86" s="68"/>
      <c r="P86" s="73"/>
    </row>
    <row r="87" spans="2:16" hidden="1">
      <c r="B87" s="72">
        <v>82</v>
      </c>
      <c r="C87" s="56">
        <f t="shared" si="5"/>
        <v>0</v>
      </c>
      <c r="D87" s="62"/>
      <c r="E87" s="78"/>
      <c r="F87" s="76"/>
      <c r="G87" s="62"/>
      <c r="H87" s="62"/>
      <c r="I87" s="77"/>
      <c r="J87" s="62"/>
      <c r="K87" s="56"/>
      <c r="L87" s="77"/>
      <c r="M87" s="56"/>
      <c r="N87" s="78"/>
      <c r="O87" s="68"/>
      <c r="P87" s="73"/>
    </row>
    <row r="88" spans="2:16" hidden="1">
      <c r="B88" s="72">
        <v>83</v>
      </c>
      <c r="C88" s="56">
        <f t="shared" si="5"/>
        <v>0</v>
      </c>
      <c r="D88" s="62"/>
      <c r="E88" s="78"/>
      <c r="F88" s="76"/>
      <c r="G88" s="62"/>
      <c r="H88" s="62"/>
      <c r="I88" s="77"/>
      <c r="J88" s="62"/>
      <c r="K88" s="56"/>
      <c r="L88" s="77"/>
      <c r="M88" s="56"/>
      <c r="N88" s="78"/>
      <c r="O88" s="68"/>
      <c r="P88" s="73"/>
    </row>
    <row r="89" spans="2:16" hidden="1">
      <c r="B89" s="72">
        <v>84</v>
      </c>
      <c r="C89" s="56">
        <f t="shared" si="5"/>
        <v>0</v>
      </c>
      <c r="D89" s="62"/>
      <c r="E89" s="78"/>
      <c r="F89" s="76"/>
      <c r="G89" s="62"/>
      <c r="H89" s="62"/>
      <c r="I89" s="77"/>
      <c r="J89" s="62"/>
      <c r="K89" s="56"/>
      <c r="L89" s="77"/>
      <c r="M89" s="56"/>
      <c r="N89" s="78"/>
      <c r="O89" s="68"/>
      <c r="P89" s="73"/>
    </row>
    <row r="90" spans="2:16" hidden="1">
      <c r="B90" s="72">
        <v>85</v>
      </c>
      <c r="C90" s="56">
        <f t="shared" si="5"/>
        <v>0</v>
      </c>
      <c r="D90" s="62"/>
      <c r="E90" s="78"/>
      <c r="F90" s="76"/>
      <c r="G90" s="62"/>
      <c r="H90" s="62"/>
      <c r="I90" s="77"/>
      <c r="J90" s="62"/>
      <c r="K90" s="56"/>
      <c r="L90" s="77"/>
      <c r="M90" s="56"/>
      <c r="N90" s="78"/>
      <c r="O90" s="68"/>
      <c r="P90" s="73"/>
    </row>
    <row r="91" spans="2:16" hidden="1">
      <c r="B91" s="72">
        <v>86</v>
      </c>
      <c r="C91" s="56">
        <f t="shared" si="5"/>
        <v>0</v>
      </c>
      <c r="D91" s="62"/>
      <c r="E91" s="78"/>
      <c r="F91" s="76"/>
      <c r="G91" s="62"/>
      <c r="H91" s="62"/>
      <c r="I91" s="77"/>
      <c r="J91" s="62"/>
      <c r="K91" s="56"/>
      <c r="L91" s="77"/>
      <c r="M91" s="56"/>
      <c r="N91" s="78"/>
      <c r="O91" s="68"/>
      <c r="P91" s="73"/>
    </row>
    <row r="92" spans="2:16" hidden="1">
      <c r="B92" s="72">
        <v>87</v>
      </c>
      <c r="C92" s="56">
        <f t="shared" si="5"/>
        <v>0</v>
      </c>
      <c r="D92" s="62"/>
      <c r="E92" s="78"/>
      <c r="F92" s="76"/>
      <c r="G92" s="62"/>
      <c r="H92" s="62"/>
      <c r="I92" s="77"/>
      <c r="J92" s="62"/>
      <c r="K92" s="56"/>
      <c r="L92" s="77"/>
      <c r="M92" s="56"/>
      <c r="N92" s="78"/>
      <c r="O92" s="68"/>
      <c r="P92" s="73"/>
    </row>
    <row r="93" spans="2:16" hidden="1">
      <c r="B93" s="72">
        <v>88</v>
      </c>
      <c r="C93" s="56">
        <f t="shared" si="5"/>
        <v>0</v>
      </c>
      <c r="D93" s="62"/>
      <c r="E93" s="78"/>
      <c r="F93" s="76"/>
      <c r="G93" s="62"/>
      <c r="H93" s="62"/>
      <c r="I93" s="77"/>
      <c r="J93" s="62"/>
      <c r="K93" s="56"/>
      <c r="L93" s="77"/>
      <c r="M93" s="56"/>
      <c r="N93" s="78"/>
      <c r="O93" s="68"/>
      <c r="P93" s="73"/>
    </row>
    <row r="94" spans="2:16" hidden="1">
      <c r="B94" s="72">
        <v>89</v>
      </c>
      <c r="C94" s="56">
        <f t="shared" si="5"/>
        <v>0</v>
      </c>
      <c r="D94" s="62"/>
      <c r="E94" s="78"/>
      <c r="F94" s="76"/>
      <c r="G94" s="62"/>
      <c r="H94" s="62"/>
      <c r="I94" s="77"/>
      <c r="J94" s="62"/>
      <c r="K94" s="56"/>
      <c r="L94" s="77"/>
      <c r="M94" s="56"/>
      <c r="N94" s="78"/>
      <c r="O94" s="68"/>
      <c r="P94" s="73"/>
    </row>
    <row r="95" spans="2:16" hidden="1">
      <c r="B95" s="72">
        <v>90</v>
      </c>
      <c r="C95" s="56">
        <f t="shared" si="5"/>
        <v>0</v>
      </c>
      <c r="D95" s="62"/>
      <c r="E95" s="78"/>
      <c r="F95" s="76"/>
      <c r="G95" s="62"/>
      <c r="H95" s="62"/>
      <c r="I95" s="77"/>
      <c r="J95" s="62"/>
      <c r="K95" s="56"/>
      <c r="L95" s="77"/>
      <c r="M95" s="56"/>
      <c r="N95" s="78"/>
      <c r="O95" s="68"/>
      <c r="P95" s="73"/>
    </row>
    <row r="96" spans="2:16" hidden="1">
      <c r="B96" s="72">
        <v>91</v>
      </c>
      <c r="C96" s="56">
        <f t="shared" si="5"/>
        <v>0</v>
      </c>
      <c r="D96" s="62"/>
      <c r="E96" s="78"/>
      <c r="F96" s="76"/>
      <c r="G96" s="62"/>
      <c r="H96" s="62"/>
      <c r="I96" s="77"/>
      <c r="J96" s="62"/>
      <c r="K96" s="56"/>
      <c r="L96" s="77"/>
      <c r="M96" s="56"/>
      <c r="N96" s="78"/>
      <c r="O96" s="68"/>
      <c r="P96" s="73"/>
    </row>
    <row r="97" spans="1:16" hidden="1">
      <c r="B97" s="72">
        <v>92</v>
      </c>
      <c r="C97" s="56">
        <f t="shared" si="5"/>
        <v>0</v>
      </c>
      <c r="D97" s="62"/>
      <c r="E97" s="78"/>
      <c r="F97" s="76"/>
      <c r="G97" s="62"/>
      <c r="H97" s="62"/>
      <c r="I97" s="77"/>
      <c r="J97" s="62"/>
      <c r="K97" s="56"/>
      <c r="L97" s="77"/>
      <c r="M97" s="56"/>
      <c r="N97" s="78"/>
      <c r="O97" s="68"/>
      <c r="P97" s="73"/>
    </row>
    <row r="98" spans="1:16" hidden="1">
      <c r="B98" s="72">
        <v>93</v>
      </c>
      <c r="C98" s="56">
        <f t="shared" si="5"/>
        <v>0</v>
      </c>
      <c r="D98" s="62"/>
      <c r="E98" s="78"/>
      <c r="F98" s="76"/>
      <c r="G98" s="62"/>
      <c r="H98" s="62"/>
      <c r="I98" s="77"/>
      <c r="J98" s="62"/>
      <c r="K98" s="56"/>
      <c r="L98" s="77"/>
      <c r="M98" s="56"/>
      <c r="N98" s="78"/>
      <c r="O98" s="68"/>
      <c r="P98" s="73"/>
    </row>
    <row r="99" spans="1:16" hidden="1">
      <c r="B99" s="72">
        <v>94</v>
      </c>
      <c r="C99" s="56">
        <f t="shared" si="5"/>
        <v>0</v>
      </c>
      <c r="D99" s="62"/>
      <c r="E99" s="78"/>
      <c r="F99" s="76"/>
      <c r="G99" s="62"/>
      <c r="H99" s="62"/>
      <c r="I99" s="77"/>
      <c r="J99" s="62"/>
      <c r="K99" s="56"/>
      <c r="L99" s="77"/>
      <c r="M99" s="56"/>
      <c r="N99" s="78"/>
      <c r="O99" s="68"/>
      <c r="P99" s="73"/>
    </row>
    <row r="100" spans="1:16" hidden="1">
      <c r="B100" s="72">
        <v>95</v>
      </c>
      <c r="C100" s="56">
        <f t="shared" si="5"/>
        <v>0</v>
      </c>
      <c r="D100" s="62"/>
      <c r="E100" s="78"/>
      <c r="F100" s="76"/>
      <c r="G100" s="62"/>
      <c r="H100" s="62"/>
      <c r="I100" s="77"/>
      <c r="J100" s="62"/>
      <c r="K100" s="56"/>
      <c r="L100" s="77"/>
      <c r="M100" s="56"/>
      <c r="N100" s="78"/>
      <c r="O100" s="68"/>
      <c r="P100" s="73"/>
    </row>
    <row r="101" spans="1:16" hidden="1">
      <c r="B101" s="72">
        <v>96</v>
      </c>
      <c r="C101" s="56"/>
      <c r="D101" s="62"/>
      <c r="E101" s="78"/>
      <c r="F101" s="76"/>
      <c r="G101" s="62"/>
      <c r="H101" s="62"/>
      <c r="I101" s="77"/>
      <c r="J101" s="62"/>
      <c r="K101" s="56"/>
      <c r="L101" s="77"/>
      <c r="M101" s="56"/>
      <c r="N101" s="78"/>
      <c r="O101" s="68"/>
      <c r="P101" s="73"/>
    </row>
    <row r="102" spans="1:16" hidden="1">
      <c r="A102" s="44"/>
      <c r="B102" s="72">
        <v>97</v>
      </c>
      <c r="C102" s="56">
        <f>N102</f>
        <v>0</v>
      </c>
      <c r="D102" s="79"/>
      <c r="E102" s="68"/>
      <c r="F102" s="79"/>
      <c r="G102" s="79"/>
      <c r="H102" s="79"/>
      <c r="I102" s="79"/>
      <c r="J102" s="79"/>
      <c r="K102" s="79"/>
      <c r="L102" s="79"/>
      <c r="M102" s="56"/>
      <c r="N102" s="68"/>
      <c r="O102" s="79"/>
      <c r="P102" s="20"/>
    </row>
    <row r="103" spans="1:16" hidden="1">
      <c r="A103" s="61"/>
      <c r="B103" s="72">
        <v>98</v>
      </c>
      <c r="C103" s="56"/>
      <c r="D103" s="79"/>
      <c r="E103" s="68"/>
      <c r="F103" s="79"/>
      <c r="G103" s="79"/>
      <c r="H103" s="79"/>
      <c r="I103" s="79"/>
      <c r="J103" s="79"/>
      <c r="K103" s="79"/>
      <c r="L103" s="79"/>
      <c r="M103" s="56"/>
      <c r="N103" s="68"/>
      <c r="O103" s="79"/>
      <c r="P103" s="20"/>
    </row>
    <row r="104" spans="1:16" hidden="1">
      <c r="A104" s="61"/>
      <c r="B104" s="72">
        <v>99</v>
      </c>
      <c r="C104" s="56"/>
      <c r="D104" s="79"/>
      <c r="E104" s="68"/>
      <c r="F104" s="79"/>
      <c r="G104" s="79"/>
      <c r="H104" s="79"/>
      <c r="I104" s="79"/>
      <c r="J104" s="79"/>
      <c r="K104" s="79"/>
      <c r="L104" s="79"/>
      <c r="M104" s="56"/>
      <c r="N104" s="68"/>
      <c r="O104" s="79"/>
      <c r="P104" s="20"/>
    </row>
    <row r="105" spans="1:16" hidden="1">
      <c r="B105" s="72">
        <v>100</v>
      </c>
      <c r="C105" s="56">
        <f>N105</f>
        <v>0</v>
      </c>
      <c r="D105" s="62"/>
      <c r="E105" s="78"/>
      <c r="F105" s="76"/>
      <c r="G105" s="62"/>
      <c r="H105" s="62"/>
      <c r="I105" s="77"/>
      <c r="J105" s="62"/>
      <c r="K105" s="62"/>
      <c r="L105" s="77"/>
      <c r="M105" s="56"/>
      <c r="N105" s="78"/>
      <c r="O105" s="68"/>
      <c r="P105" s="73"/>
    </row>
    <row r="106" spans="1:16">
      <c r="B106" s="80"/>
      <c r="M106" s="74"/>
    </row>
  </sheetData>
  <printOptions horizont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114"/>
  <sheetViews>
    <sheetView topLeftCell="A22" zoomScale="70" zoomScaleNormal="70" workbookViewId="0">
      <selection activeCell="B22" sqref="B22"/>
    </sheetView>
  </sheetViews>
  <sheetFormatPr defaultColWidth="7.6640625" defaultRowHeight="17.25"/>
  <cols>
    <col min="1" max="1" width="15.6640625" style="81" customWidth="1"/>
    <col min="2" max="2" width="15.77734375" style="82" customWidth="1"/>
    <col min="3" max="4" width="15.77734375" style="83" customWidth="1"/>
    <col min="5" max="10" width="15.77734375" style="81" customWidth="1"/>
    <col min="11" max="15" width="11" style="81" customWidth="1"/>
    <col min="16" max="16" width="11.77734375" style="81" customWidth="1"/>
    <col min="17" max="1024" width="7.6640625" style="81"/>
  </cols>
  <sheetData>
    <row r="1" spans="2:18">
      <c r="B1" s="84" t="s">
        <v>422</v>
      </c>
      <c r="C1" s="85"/>
      <c r="D1" s="85"/>
      <c r="E1" s="86"/>
    </row>
    <row r="2" spans="2:18">
      <c r="B2" s="84" t="s">
        <v>423</v>
      </c>
      <c r="C2" s="85"/>
      <c r="D2" s="85"/>
      <c r="E2" s="86"/>
    </row>
    <row r="3" spans="2:18">
      <c r="B3" s="87"/>
      <c r="C3" s="88"/>
      <c r="D3" s="88"/>
      <c r="E3" s="89"/>
      <c r="F3" s="90"/>
      <c r="G3" s="90"/>
      <c r="H3" s="90"/>
      <c r="I3" s="90"/>
    </row>
    <row r="4" spans="2:18">
      <c r="B4" s="91" t="s">
        <v>424</v>
      </c>
      <c r="C4" s="91" t="s">
        <v>425</v>
      </c>
      <c r="D4" s="91" t="s">
        <v>426</v>
      </c>
      <c r="E4" s="91" t="s">
        <v>427</v>
      </c>
      <c r="F4" s="91" t="s">
        <v>428</v>
      </c>
      <c r="G4" s="91" t="s">
        <v>429</v>
      </c>
      <c r="H4" s="91" t="s">
        <v>430</v>
      </c>
      <c r="I4" s="91" t="s">
        <v>431</v>
      </c>
      <c r="K4" s="83"/>
      <c r="P4" s="83"/>
      <c r="Q4" s="83"/>
      <c r="R4" s="83"/>
    </row>
    <row r="5" spans="2:18">
      <c r="B5" s="92" t="s">
        <v>432</v>
      </c>
      <c r="C5" s="92" t="s">
        <v>433</v>
      </c>
      <c r="D5" s="92" t="s">
        <v>434</v>
      </c>
      <c r="E5" s="92" t="s">
        <v>435</v>
      </c>
      <c r="F5" s="92" t="s">
        <v>436</v>
      </c>
      <c r="G5" s="92" t="s">
        <v>437</v>
      </c>
      <c r="H5" s="92" t="s">
        <v>438</v>
      </c>
      <c r="I5" s="92" t="s">
        <v>439</v>
      </c>
    </row>
    <row r="6" spans="2:18">
      <c r="B6" s="92" t="s">
        <v>440</v>
      </c>
      <c r="C6" s="92" t="s">
        <v>441</v>
      </c>
      <c r="D6" s="92" t="s">
        <v>442</v>
      </c>
      <c r="E6" s="92" t="s">
        <v>443</v>
      </c>
      <c r="F6" s="92" t="s">
        <v>444</v>
      </c>
      <c r="G6" s="92" t="s">
        <v>445</v>
      </c>
      <c r="H6" s="92" t="s">
        <v>446</v>
      </c>
      <c r="I6" s="92" t="s">
        <v>447</v>
      </c>
    </row>
    <row r="7" spans="2:18">
      <c r="B7" s="93" t="s">
        <v>448</v>
      </c>
      <c r="C7" s="93" t="s">
        <v>449</v>
      </c>
      <c r="D7" s="93" t="s">
        <v>450</v>
      </c>
      <c r="E7" s="93" t="s">
        <v>451</v>
      </c>
      <c r="F7" s="93" t="s">
        <v>452</v>
      </c>
      <c r="G7" s="93" t="s">
        <v>453</v>
      </c>
      <c r="H7" s="93" t="s">
        <v>454</v>
      </c>
      <c r="I7" s="93" t="s">
        <v>455</v>
      </c>
    </row>
    <row r="8" spans="2:18">
      <c r="B8" s="94" t="s">
        <v>257</v>
      </c>
      <c r="C8" s="95" t="s">
        <v>251</v>
      </c>
      <c r="D8" s="95" t="s">
        <v>245</v>
      </c>
      <c r="E8" s="95" t="s">
        <v>239</v>
      </c>
      <c r="F8" s="95" t="s">
        <v>233</v>
      </c>
      <c r="G8" s="95" t="s">
        <v>227</v>
      </c>
      <c r="H8" s="95" t="s">
        <v>221</v>
      </c>
      <c r="I8" s="96" t="s">
        <v>215</v>
      </c>
    </row>
    <row r="9" spans="2:18">
      <c r="B9" s="97" t="s">
        <v>263</v>
      </c>
      <c r="C9" s="98" t="s">
        <v>269</v>
      </c>
      <c r="D9" s="98" t="s">
        <v>275</v>
      </c>
      <c r="E9" s="98" t="s">
        <v>281</v>
      </c>
      <c r="F9" s="98" t="s">
        <v>300</v>
      </c>
      <c r="G9" s="98" t="s">
        <v>287</v>
      </c>
      <c r="H9" s="98" t="s">
        <v>305</v>
      </c>
      <c r="I9" s="99" t="s">
        <v>294</v>
      </c>
    </row>
    <row r="10" spans="2:18">
      <c r="B10" s="97" t="s">
        <v>314</v>
      </c>
      <c r="C10" s="98" t="s">
        <v>368</v>
      </c>
      <c r="D10" s="98" t="s">
        <v>362</v>
      </c>
      <c r="E10" s="98" t="s">
        <v>408</v>
      </c>
      <c r="F10" s="98" t="s">
        <v>330</v>
      </c>
      <c r="G10" s="98" t="s">
        <v>378</v>
      </c>
      <c r="H10" s="98" t="s">
        <v>403</v>
      </c>
      <c r="I10" s="99" t="s">
        <v>310</v>
      </c>
    </row>
    <row r="11" spans="2:18">
      <c r="B11" s="97" t="s">
        <v>382</v>
      </c>
      <c r="C11" s="98" t="s">
        <v>326</v>
      </c>
      <c r="D11" s="98" t="s">
        <v>350</v>
      </c>
      <c r="E11" s="98" t="s">
        <v>356</v>
      </c>
      <c r="F11" s="98" t="s">
        <v>412</v>
      </c>
      <c r="G11" s="98" t="s">
        <v>340</v>
      </c>
      <c r="H11" s="98" t="s">
        <v>397</v>
      </c>
      <c r="I11" s="99" t="s">
        <v>387</v>
      </c>
    </row>
    <row r="12" spans="2:18">
      <c r="B12" s="100"/>
      <c r="C12" s="101" t="s">
        <v>421</v>
      </c>
      <c r="D12" s="101" t="s">
        <v>416</v>
      </c>
      <c r="E12" s="101" t="s">
        <v>321</v>
      </c>
      <c r="F12" s="101" t="s">
        <v>345</v>
      </c>
      <c r="G12" s="101" t="s">
        <v>336</v>
      </c>
      <c r="H12" s="101" t="s">
        <v>373</v>
      </c>
      <c r="I12" s="102" t="s">
        <v>391</v>
      </c>
    </row>
    <row r="13" spans="2:18">
      <c r="B13" s="103" t="s">
        <v>456</v>
      </c>
      <c r="D13" s="81"/>
    </row>
    <row r="14" spans="2:18">
      <c r="D14" s="81"/>
    </row>
    <row r="15" spans="2:18">
      <c r="D15" s="81"/>
    </row>
    <row r="16" spans="2:18" s="81" customFormat="1" ht="18">
      <c r="C16" s="82"/>
      <c r="D16" s="104"/>
      <c r="E16" s="105" t="s">
        <v>215</v>
      </c>
      <c r="F16" s="105"/>
      <c r="G16" s="105"/>
      <c r="H16" s="105"/>
      <c r="I16" s="105"/>
    </row>
    <row r="17" spans="2:15" s="81" customFormat="1">
      <c r="C17" s="82"/>
      <c r="D17" s="105"/>
      <c r="E17" s="106" t="str">
        <f>VLOOKUP(E16,MD!$C$6:$M$68,3,FALSE())</f>
        <v>食三番包十番</v>
      </c>
      <c r="F17" s="107"/>
      <c r="G17" s="82"/>
      <c r="H17" s="105"/>
      <c r="I17" s="105"/>
    </row>
    <row r="18" spans="2:15">
      <c r="B18" s="108" t="s">
        <v>387</v>
      </c>
      <c r="C18" s="109"/>
      <c r="D18" s="105"/>
      <c r="E18" s="110"/>
      <c r="F18" s="111" t="s">
        <v>457</v>
      </c>
      <c r="G18" s="108"/>
      <c r="H18" s="105"/>
      <c r="I18" s="105"/>
    </row>
    <row r="19" spans="2:15">
      <c r="B19" s="112" t="str">
        <f>VLOOKUP(B18,MD!$C$6:$M$68,3,FALSE())</f>
        <v>加拿大兄弟幫</v>
      </c>
      <c r="C19" s="113"/>
      <c r="D19" s="105"/>
      <c r="E19" s="105"/>
      <c r="F19" s="114" t="s">
        <v>458</v>
      </c>
      <c r="G19" s="115" t="str">
        <f>E20</f>
        <v>加拿大兄弟幫</v>
      </c>
      <c r="H19" s="105"/>
      <c r="I19" s="105"/>
    </row>
    <row r="20" spans="2:15" s="81" customFormat="1">
      <c r="C20" s="116" t="s">
        <v>459</v>
      </c>
      <c r="D20" s="117"/>
      <c r="E20" s="118" t="str">
        <f>B19</f>
        <v>加拿大兄弟幫</v>
      </c>
      <c r="F20" s="119"/>
      <c r="G20" s="120"/>
      <c r="H20" s="105"/>
      <c r="I20" s="105"/>
    </row>
    <row r="21" spans="2:15" ht="18">
      <c r="B21" s="121" t="s">
        <v>391</v>
      </c>
      <c r="C21" s="122" t="s">
        <v>460</v>
      </c>
      <c r="D21" s="105"/>
      <c r="E21" s="123"/>
      <c r="F21" s="123"/>
      <c r="G21" s="124" t="s">
        <v>461</v>
      </c>
      <c r="H21" s="125"/>
      <c r="I21" s="126" t="str">
        <f>G24</f>
        <v>浪費時間</v>
      </c>
      <c r="J21" s="127" t="s">
        <v>462</v>
      </c>
    </row>
    <row r="22" spans="2:15">
      <c r="B22" s="106" t="str">
        <f>VLOOKUP(B21,MD!$C$6:$M$68,3,FALSE())</f>
        <v>豆沙人</v>
      </c>
      <c r="C22" s="128"/>
      <c r="D22" s="105"/>
      <c r="E22" s="129" t="s">
        <v>294</v>
      </c>
      <c r="F22" s="129"/>
      <c r="G22" s="130" t="s">
        <v>463</v>
      </c>
      <c r="H22" s="105"/>
      <c r="I22" s="105"/>
    </row>
    <row r="23" spans="2:15" s="81" customFormat="1">
      <c r="C23" s="108"/>
      <c r="D23" s="105"/>
      <c r="E23" s="112" t="str">
        <f>VLOOKUP(E22,MD!$C$6:$M$68,3,FALSE())</f>
        <v>浪費時間</v>
      </c>
      <c r="F23" s="107"/>
      <c r="G23" s="128"/>
      <c r="H23" s="105"/>
      <c r="I23" s="105"/>
    </row>
    <row r="24" spans="2:15" s="81" customFormat="1">
      <c r="C24" s="108"/>
      <c r="D24" s="105"/>
      <c r="E24" s="105"/>
      <c r="F24" s="111" t="s">
        <v>464</v>
      </c>
      <c r="G24" s="131" t="str">
        <f>E23</f>
        <v>浪費時間</v>
      </c>
      <c r="H24" s="105"/>
      <c r="I24" s="105"/>
    </row>
    <row r="25" spans="2:15" s="81" customFormat="1">
      <c r="C25" s="108"/>
      <c r="D25" s="105"/>
      <c r="E25" s="105" t="s">
        <v>310</v>
      </c>
      <c r="F25" s="114" t="s">
        <v>465</v>
      </c>
      <c r="G25" s="108"/>
      <c r="H25" s="105"/>
      <c r="I25" s="105"/>
    </row>
    <row r="26" spans="2:15" s="81" customFormat="1">
      <c r="C26" s="108"/>
      <c r="D26" s="105"/>
      <c r="E26" s="106" t="str">
        <f>VLOOKUP(E25,MD!$C$6:$M$68,3,FALSE())</f>
        <v>赤殷</v>
      </c>
      <c r="F26" s="119"/>
      <c r="G26" s="129"/>
      <c r="H26" s="105"/>
      <c r="I26" s="105"/>
    </row>
    <row r="27" spans="2:15" s="81" customFormat="1">
      <c r="C27" s="108"/>
      <c r="D27" s="105"/>
      <c r="E27" s="108"/>
      <c r="F27" s="105"/>
      <c r="G27" s="129"/>
      <c r="H27" s="132"/>
      <c r="I27" s="129"/>
      <c r="M27" s="132"/>
      <c r="N27" s="132"/>
      <c r="O27" s="133"/>
    </row>
    <row r="28" spans="2:15" s="81" customFormat="1">
      <c r="C28" s="108"/>
      <c r="D28" s="105"/>
      <c r="E28" s="108" t="s">
        <v>263</v>
      </c>
      <c r="F28" s="134"/>
      <c r="G28" s="108"/>
      <c r="H28" s="105"/>
      <c r="I28" s="105"/>
    </row>
    <row r="29" spans="2:15" s="81" customFormat="1">
      <c r="C29" s="108"/>
      <c r="D29" s="105"/>
      <c r="E29" s="112" t="str">
        <f>VLOOKUP(E28,MD!$C$6:$M$68,3,FALSE())</f>
        <v>喂 Siri</v>
      </c>
      <c r="F29" s="107"/>
      <c r="G29" s="108"/>
      <c r="H29" s="105"/>
      <c r="I29" s="105"/>
    </row>
    <row r="30" spans="2:15" s="81" customFormat="1">
      <c r="C30" s="108"/>
      <c r="D30" s="105"/>
      <c r="E30" s="110"/>
      <c r="F30" s="111" t="s">
        <v>466</v>
      </c>
      <c r="G30" s="108"/>
      <c r="H30" s="105"/>
      <c r="I30" s="105"/>
    </row>
    <row r="31" spans="2:15" s="81" customFormat="1">
      <c r="C31" s="108"/>
      <c r="D31" s="105"/>
      <c r="E31" s="105" t="s">
        <v>314</v>
      </c>
      <c r="F31" s="114" t="s">
        <v>467</v>
      </c>
      <c r="G31" s="118" t="str">
        <f>E29</f>
        <v>喂 Siri</v>
      </c>
      <c r="H31" s="105"/>
      <c r="I31" s="105"/>
    </row>
    <row r="32" spans="2:15" s="81" customFormat="1">
      <c r="C32" s="108"/>
      <c r="D32" s="105"/>
      <c r="E32" s="106" t="str">
        <f>VLOOKUP(E31,MD!$C$6:$M$68,3,FALSE())</f>
        <v>KS</v>
      </c>
      <c r="F32" s="119"/>
      <c r="G32" s="130"/>
      <c r="H32" s="105"/>
      <c r="I32" s="105"/>
    </row>
    <row r="33" spans="2:10" s="81" customFormat="1" ht="18">
      <c r="C33" s="108"/>
      <c r="D33" s="105"/>
      <c r="E33" s="129"/>
      <c r="F33" s="129"/>
      <c r="G33" s="124" t="s">
        <v>468</v>
      </c>
      <c r="H33" s="125"/>
      <c r="I33" s="126" t="str">
        <f>G31</f>
        <v>喂 Siri</v>
      </c>
      <c r="J33" s="127" t="s">
        <v>469</v>
      </c>
    </row>
    <row r="34" spans="2:10" s="81" customFormat="1">
      <c r="C34" s="108"/>
      <c r="D34" s="105"/>
      <c r="E34" s="129" t="s">
        <v>257</v>
      </c>
      <c r="F34" s="129"/>
      <c r="G34" s="130" t="s">
        <v>470</v>
      </c>
      <c r="H34" s="105"/>
      <c r="I34" s="105"/>
    </row>
    <row r="35" spans="2:10" s="81" customFormat="1">
      <c r="C35" s="108"/>
      <c r="D35" s="105"/>
      <c r="E35" s="112" t="str">
        <f>VLOOKUP(E34,MD!$C$6:$M$68,3,FALSE())</f>
        <v>LKT</v>
      </c>
      <c r="F35" s="107"/>
      <c r="G35" s="128"/>
      <c r="H35" s="105"/>
      <c r="I35" s="105"/>
    </row>
    <row r="36" spans="2:10" s="81" customFormat="1">
      <c r="C36" s="108"/>
      <c r="D36" s="105"/>
      <c r="E36" s="110"/>
      <c r="F36" s="111" t="s">
        <v>471</v>
      </c>
      <c r="G36" s="128" t="str">
        <f>E35</f>
        <v>LKT</v>
      </c>
      <c r="H36" s="105"/>
      <c r="I36" s="105"/>
    </row>
    <row r="37" spans="2:10" s="81" customFormat="1">
      <c r="C37" s="108"/>
      <c r="D37" s="105"/>
      <c r="E37" s="105" t="s">
        <v>382</v>
      </c>
      <c r="F37" s="114" t="s">
        <v>472</v>
      </c>
      <c r="G37" s="135"/>
      <c r="H37" s="105"/>
      <c r="I37" s="105"/>
    </row>
    <row r="38" spans="2:10" s="81" customFormat="1">
      <c r="C38" s="108"/>
      <c r="D38" s="105"/>
      <c r="E38" s="106" t="str">
        <f>VLOOKUP(E37,MD!$C$6:$M$68,3,FALSE())</f>
        <v>KYC1999</v>
      </c>
      <c r="F38" s="119"/>
      <c r="G38" s="129"/>
      <c r="H38" s="105"/>
      <c r="I38" s="105"/>
    </row>
    <row r="39" spans="2:10" s="81" customFormat="1">
      <c r="C39" s="108"/>
      <c r="D39" s="105"/>
      <c r="E39" s="105"/>
      <c r="F39" s="105"/>
      <c r="G39" s="108"/>
      <c r="H39" s="105"/>
      <c r="I39" s="105"/>
    </row>
    <row r="40" spans="2:10" s="81" customFormat="1">
      <c r="C40" s="108"/>
      <c r="D40" s="105"/>
      <c r="E40" s="108" t="s">
        <v>239</v>
      </c>
      <c r="F40" s="134"/>
      <c r="G40" s="108"/>
      <c r="H40" s="105"/>
      <c r="I40" s="105"/>
    </row>
    <row r="41" spans="2:10" s="81" customFormat="1">
      <c r="C41" s="108"/>
      <c r="D41" s="105"/>
      <c r="E41" s="106" t="str">
        <f>VLOOKUP(E40,MD!$C$6:$M$68,3,FALSE())</f>
        <v>HKUST</v>
      </c>
      <c r="F41" s="107"/>
      <c r="G41" s="108"/>
      <c r="H41" s="105"/>
      <c r="I41" s="105"/>
    </row>
    <row r="42" spans="2:10">
      <c r="B42" s="108" t="s">
        <v>356</v>
      </c>
      <c r="C42" s="121"/>
      <c r="D42" s="105"/>
      <c r="E42" s="110"/>
      <c r="F42" s="111" t="s">
        <v>473</v>
      </c>
      <c r="G42" s="108"/>
      <c r="H42" s="105"/>
      <c r="I42" s="105"/>
    </row>
    <row r="43" spans="2:10">
      <c r="B43" s="106" t="str">
        <f>VLOOKUP(B42,MD!$C$6:$M$68,3,FALSE())</f>
        <v>Hello</v>
      </c>
      <c r="C43" s="136"/>
      <c r="D43" s="105"/>
      <c r="E43" s="105"/>
      <c r="F43" s="114" t="s">
        <v>474</v>
      </c>
      <c r="G43" s="115" t="str">
        <f>E44</f>
        <v>死守爛拍</v>
      </c>
      <c r="H43" s="105"/>
      <c r="I43" s="105"/>
    </row>
    <row r="44" spans="2:10">
      <c r="B44" s="137"/>
      <c r="C44" s="116" t="s">
        <v>475</v>
      </c>
      <c r="D44" s="117"/>
      <c r="E44" s="118" t="str">
        <f>B46</f>
        <v>死守爛拍</v>
      </c>
      <c r="F44" s="119"/>
      <c r="G44" s="130"/>
      <c r="H44" s="105"/>
      <c r="I44" s="105"/>
    </row>
    <row r="45" spans="2:10" ht="18">
      <c r="B45" s="121" t="s">
        <v>321</v>
      </c>
      <c r="C45" s="122" t="s">
        <v>476</v>
      </c>
      <c r="D45" s="105"/>
      <c r="E45" s="129"/>
      <c r="F45" s="129"/>
      <c r="G45" s="124" t="s">
        <v>477</v>
      </c>
      <c r="H45" s="125"/>
      <c r="I45" s="126" t="str">
        <f>G48</f>
        <v>Team USASWISS</v>
      </c>
      <c r="J45" s="127" t="s">
        <v>478</v>
      </c>
    </row>
    <row r="46" spans="2:10">
      <c r="B46" s="112" t="str">
        <f>VLOOKUP(B45,MD!$C$6:$M$68,3,FALSE())</f>
        <v>死守爛拍</v>
      </c>
      <c r="C46" s="128"/>
      <c r="D46" s="105"/>
      <c r="E46" s="129" t="s">
        <v>281</v>
      </c>
      <c r="F46" s="129"/>
      <c r="G46" s="130" t="s">
        <v>479</v>
      </c>
      <c r="H46" s="105"/>
      <c r="I46" s="105"/>
    </row>
    <row r="47" spans="2:10" s="81" customFormat="1">
      <c r="C47" s="108"/>
      <c r="D47" s="105"/>
      <c r="E47" s="106" t="str">
        <f>VLOOKUP(E46,MD!$C$6:$M$68,3,FALSE())</f>
        <v>VVE</v>
      </c>
      <c r="F47" s="107"/>
      <c r="G47" s="128"/>
      <c r="H47" s="105"/>
      <c r="I47" s="105"/>
    </row>
    <row r="48" spans="2:10" s="81" customFormat="1">
      <c r="C48" s="108"/>
      <c r="D48" s="105"/>
      <c r="E48" s="105"/>
      <c r="F48" s="111" t="s">
        <v>480</v>
      </c>
      <c r="G48" s="131" t="str">
        <f>E50</f>
        <v>Team USASWISS</v>
      </c>
      <c r="H48" s="105"/>
      <c r="I48" s="105"/>
    </row>
    <row r="49" spans="2:10" s="81" customFormat="1" ht="18">
      <c r="C49" s="108"/>
      <c r="D49" s="105"/>
      <c r="E49" s="105" t="s">
        <v>408</v>
      </c>
      <c r="F49" s="114" t="s">
        <v>481</v>
      </c>
      <c r="G49" s="138"/>
      <c r="H49" s="105"/>
      <c r="I49" s="105"/>
    </row>
    <row r="50" spans="2:10" s="81" customFormat="1">
      <c r="C50" s="108"/>
      <c r="D50" s="105"/>
      <c r="E50" s="112" t="str">
        <f>VLOOKUP(E49,MD!$C$6:$M$68,3,FALSE())</f>
        <v>Team USASWISS</v>
      </c>
      <c r="F50" s="119"/>
      <c r="G50" s="129"/>
      <c r="H50" s="105"/>
      <c r="I50" s="105"/>
    </row>
    <row r="51" spans="2:10" s="81" customFormat="1">
      <c r="C51" s="108"/>
      <c r="D51" s="105"/>
      <c r="E51" s="108"/>
      <c r="F51" s="105"/>
      <c r="G51" s="129"/>
      <c r="H51" s="132"/>
      <c r="I51" s="105"/>
    </row>
    <row r="52" spans="2:10" s="81" customFormat="1">
      <c r="C52" s="108"/>
      <c r="D52" s="105"/>
      <c r="E52" s="108" t="s">
        <v>300</v>
      </c>
      <c r="F52" s="134"/>
      <c r="G52" s="108"/>
      <c r="H52" s="105"/>
      <c r="I52" s="105"/>
    </row>
    <row r="53" spans="2:10" s="81" customFormat="1">
      <c r="C53" s="108"/>
      <c r="D53" s="105"/>
      <c r="E53" s="112" t="str">
        <f>VLOOKUP(E52,MD!$C$6:$M$68,3,FALSE())</f>
        <v>怒飛</v>
      </c>
      <c r="F53" s="107"/>
      <c r="G53" s="108"/>
      <c r="H53" s="105"/>
      <c r="I53" s="105"/>
    </row>
    <row r="54" spans="2:10" s="81" customFormat="1">
      <c r="C54" s="108"/>
      <c r="D54" s="105"/>
      <c r="E54" s="110"/>
      <c r="F54" s="111" t="s">
        <v>482</v>
      </c>
      <c r="G54" s="108"/>
      <c r="H54" s="105"/>
      <c r="I54" s="105"/>
    </row>
    <row r="55" spans="2:10" s="81" customFormat="1">
      <c r="C55" s="108"/>
      <c r="D55" s="105"/>
      <c r="E55" s="105" t="s">
        <v>330</v>
      </c>
      <c r="F55" s="114" t="s">
        <v>483</v>
      </c>
      <c r="G55" s="115" t="str">
        <f>E53</f>
        <v>怒飛</v>
      </c>
      <c r="H55" s="105"/>
      <c r="I55" s="105"/>
    </row>
    <row r="56" spans="2:10" s="81" customFormat="1">
      <c r="C56" s="108"/>
      <c r="D56" s="105"/>
      <c r="E56" s="106" t="str">
        <f>VLOOKUP(E55,MD!$C$6:$M$68,3,FALSE())</f>
        <v>DB99J</v>
      </c>
      <c r="F56" s="119"/>
      <c r="G56" s="130"/>
      <c r="H56" s="105"/>
      <c r="I56" s="105"/>
    </row>
    <row r="57" spans="2:10" s="81" customFormat="1" ht="18">
      <c r="C57" s="108"/>
      <c r="D57" s="105"/>
      <c r="E57" s="129"/>
      <c r="F57" s="129"/>
      <c r="G57" s="124" t="s">
        <v>484</v>
      </c>
      <c r="H57" s="125"/>
      <c r="I57" s="126" t="str">
        <f>G60</f>
        <v>JC</v>
      </c>
      <c r="J57" s="127" t="s">
        <v>485</v>
      </c>
    </row>
    <row r="58" spans="2:10" s="81" customFormat="1">
      <c r="C58" s="108"/>
      <c r="D58" s="105"/>
      <c r="E58" s="129" t="s">
        <v>233</v>
      </c>
      <c r="F58" s="129"/>
      <c r="G58" s="130" t="s">
        <v>486</v>
      </c>
      <c r="H58" s="105"/>
      <c r="I58" s="105"/>
    </row>
    <row r="59" spans="2:10" s="81" customFormat="1">
      <c r="C59" s="108"/>
      <c r="D59" s="105"/>
      <c r="E59" s="112" t="str">
        <f>VLOOKUP(E58,MD!$C$6:$M$68,3,FALSE())</f>
        <v>JC</v>
      </c>
      <c r="F59" s="107"/>
      <c r="G59" s="128"/>
      <c r="H59" s="105"/>
      <c r="I59" s="105"/>
    </row>
    <row r="60" spans="2:10">
      <c r="B60" s="108" t="s">
        <v>412</v>
      </c>
      <c r="C60" s="134"/>
      <c r="D60" s="105"/>
      <c r="E60" s="105"/>
      <c r="F60" s="111" t="s">
        <v>487</v>
      </c>
      <c r="G60" s="131" t="str">
        <f>E59</f>
        <v>JC</v>
      </c>
      <c r="H60" s="105"/>
      <c r="I60" s="105"/>
    </row>
    <row r="61" spans="2:10">
      <c r="B61" s="112" t="str">
        <f>VLOOKUP(B60,MD!$C$6:$M$68,3,FALSE())</f>
        <v>DBS 1</v>
      </c>
      <c r="C61" s="107"/>
      <c r="D61" s="105"/>
      <c r="E61" s="105"/>
      <c r="F61" s="114" t="s">
        <v>488</v>
      </c>
      <c r="G61" s="108"/>
      <c r="H61" s="105"/>
      <c r="I61" s="105"/>
    </row>
    <row r="62" spans="2:10">
      <c r="B62" s="137"/>
      <c r="C62" s="111" t="s">
        <v>489</v>
      </c>
      <c r="D62" s="139"/>
      <c r="E62" s="115" t="str">
        <f>B61</f>
        <v>DBS 1</v>
      </c>
      <c r="F62" s="119"/>
      <c r="G62" s="129"/>
      <c r="H62" s="105"/>
      <c r="I62" s="105"/>
    </row>
    <row r="63" spans="2:10">
      <c r="B63" s="121" t="s">
        <v>345</v>
      </c>
      <c r="C63" s="114" t="s">
        <v>490</v>
      </c>
      <c r="D63" s="105"/>
      <c r="E63" s="108"/>
      <c r="F63" s="105"/>
      <c r="G63" s="108"/>
      <c r="H63" s="105"/>
      <c r="I63" s="105"/>
    </row>
    <row r="64" spans="2:10">
      <c r="B64" s="106" t="str">
        <f>VLOOKUP(B63,MD!$C$6:$M$68,3,FALSE())</f>
        <v>New Normal</v>
      </c>
      <c r="C64" s="139"/>
      <c r="D64" s="105"/>
      <c r="E64" s="108"/>
      <c r="F64" s="108"/>
      <c r="G64" s="108"/>
      <c r="H64" s="105"/>
      <c r="I64" s="105"/>
    </row>
    <row r="65" spans="2:10">
      <c r="B65" s="110"/>
      <c r="C65" s="110"/>
      <c r="D65" s="105"/>
      <c r="E65" s="108" t="s">
        <v>227</v>
      </c>
      <c r="F65" s="134"/>
      <c r="G65" s="108"/>
      <c r="H65" s="105"/>
      <c r="I65" s="105"/>
    </row>
    <row r="66" spans="2:10">
      <c r="B66" s="108"/>
      <c r="C66" s="105"/>
      <c r="D66" s="105"/>
      <c r="E66" s="112" t="str">
        <f>VLOOKUP(E65,MD!$C$6:$M$68,3,FALSE())</f>
        <v>ALPS-Brazil</v>
      </c>
      <c r="F66" s="107"/>
      <c r="G66" s="108"/>
      <c r="H66" s="105"/>
      <c r="I66" s="105"/>
    </row>
    <row r="67" spans="2:10">
      <c r="B67" s="108" t="s">
        <v>340</v>
      </c>
      <c r="C67" s="134"/>
      <c r="D67" s="105"/>
      <c r="E67" s="110"/>
      <c r="F67" s="111" t="s">
        <v>491</v>
      </c>
      <c r="G67" s="108"/>
      <c r="H67" s="105"/>
      <c r="I67" s="105"/>
    </row>
    <row r="68" spans="2:10">
      <c r="B68" s="106" t="str">
        <f>VLOOKUP(B67,MD!$C$6:$M$68,3,FALSE())</f>
        <v xml:space="preserve">Maniac </v>
      </c>
      <c r="C68" s="107"/>
      <c r="D68" s="105"/>
      <c r="E68" s="105"/>
      <c r="F68" s="114" t="s">
        <v>492</v>
      </c>
      <c r="G68" s="118" t="str">
        <f>E66</f>
        <v>ALPS-Brazil</v>
      </c>
      <c r="H68" s="105"/>
      <c r="I68" s="105"/>
    </row>
    <row r="69" spans="2:10">
      <c r="B69" s="137"/>
      <c r="C69" s="111" t="s">
        <v>493</v>
      </c>
      <c r="D69" s="139"/>
      <c r="E69" s="115" t="str">
        <f>B71</f>
        <v>Volleyfever</v>
      </c>
      <c r="F69" s="119"/>
      <c r="G69" s="130"/>
      <c r="H69" s="105"/>
      <c r="I69" s="105"/>
    </row>
    <row r="70" spans="2:10" ht="18">
      <c r="B70" s="121" t="s">
        <v>336</v>
      </c>
      <c r="C70" s="114" t="s">
        <v>494</v>
      </c>
      <c r="D70" s="105"/>
      <c r="E70" s="129"/>
      <c r="F70" s="129"/>
      <c r="G70" s="124" t="s">
        <v>495</v>
      </c>
      <c r="H70" s="125"/>
      <c r="I70" s="126" t="str">
        <f>G68</f>
        <v>ALPS-Brazil</v>
      </c>
      <c r="J70" s="127" t="s">
        <v>496</v>
      </c>
    </row>
    <row r="71" spans="2:10">
      <c r="B71" s="112" t="str">
        <f>VLOOKUP(B70,MD!$C$6:$M$68,3,FALSE())</f>
        <v>Volleyfever</v>
      </c>
      <c r="C71" s="139"/>
      <c r="D71" s="105"/>
      <c r="E71" s="129" t="s">
        <v>287</v>
      </c>
      <c r="F71" s="129"/>
      <c r="G71" s="130" t="s">
        <v>497</v>
      </c>
      <c r="H71" s="105"/>
      <c r="I71" s="105"/>
    </row>
    <row r="72" spans="2:10" s="81" customFormat="1">
      <c r="C72" s="108"/>
      <c r="D72" s="105"/>
      <c r="E72" s="106" t="str">
        <f>VLOOKUP(E71,MD!$C$6:$M$68,3,FALSE())</f>
        <v>CHAKRA</v>
      </c>
      <c r="F72" s="107"/>
      <c r="G72" s="128"/>
      <c r="H72" s="105"/>
      <c r="I72" s="105"/>
    </row>
    <row r="73" spans="2:10" s="81" customFormat="1">
      <c r="C73" s="108"/>
      <c r="D73" s="105"/>
      <c r="E73" s="105"/>
      <c r="F73" s="111" t="s">
        <v>498</v>
      </c>
      <c r="G73" s="140" t="str">
        <f>E75</f>
        <v>肇青三隊</v>
      </c>
      <c r="H73" s="105"/>
      <c r="I73" s="105"/>
    </row>
    <row r="74" spans="2:10" s="81" customFormat="1">
      <c r="C74" s="108"/>
      <c r="D74" s="105"/>
      <c r="E74" s="105" t="s">
        <v>378</v>
      </c>
      <c r="F74" s="114" t="s">
        <v>499</v>
      </c>
      <c r="G74" s="108"/>
      <c r="H74" s="105"/>
      <c r="I74" s="105"/>
    </row>
    <row r="75" spans="2:10" s="81" customFormat="1">
      <c r="C75" s="108"/>
      <c r="D75" s="105"/>
      <c r="E75" s="112" t="str">
        <f>VLOOKUP(E74,MD!$C$6:$M$68,3,FALSE())</f>
        <v>肇青三隊</v>
      </c>
      <c r="F75" s="119"/>
      <c r="G75" s="129"/>
      <c r="H75" s="105"/>
      <c r="I75" s="105"/>
    </row>
    <row r="76" spans="2:10" s="81" customFormat="1">
      <c r="C76" s="108"/>
      <c r="D76" s="105"/>
      <c r="E76" s="108"/>
      <c r="F76" s="105"/>
      <c r="G76" s="129"/>
      <c r="H76" s="132"/>
      <c r="I76" s="105"/>
    </row>
    <row r="77" spans="2:10" s="81" customFormat="1">
      <c r="C77" s="108"/>
      <c r="D77" s="105"/>
      <c r="E77" s="108" t="s">
        <v>275</v>
      </c>
      <c r="F77" s="134"/>
      <c r="G77" s="108"/>
      <c r="H77" s="105"/>
      <c r="I77" s="105"/>
    </row>
    <row r="78" spans="2:10" s="81" customFormat="1">
      <c r="C78" s="108"/>
      <c r="D78" s="105"/>
      <c r="E78" s="112" t="str">
        <f>VLOOKUP(E77,MD!$C$6:$M$68,3,FALSE())</f>
        <v>RBBB</v>
      </c>
      <c r="F78" s="107"/>
      <c r="G78" s="108"/>
      <c r="H78" s="105"/>
      <c r="I78" s="105"/>
    </row>
    <row r="79" spans="2:10" s="81" customFormat="1">
      <c r="C79" s="108"/>
      <c r="D79" s="105"/>
      <c r="E79" s="110"/>
      <c r="F79" s="111" t="s">
        <v>500</v>
      </c>
      <c r="G79" s="108"/>
      <c r="H79" s="105"/>
      <c r="I79" s="105"/>
    </row>
    <row r="80" spans="2:10" s="81" customFormat="1">
      <c r="C80" s="108"/>
      <c r="D80" s="105"/>
      <c r="E80" s="105" t="s">
        <v>362</v>
      </c>
      <c r="F80" s="114" t="s">
        <v>501</v>
      </c>
      <c r="G80" s="115" t="str">
        <f>E78</f>
        <v>RBBB</v>
      </c>
      <c r="H80" s="105"/>
      <c r="I80" s="105"/>
    </row>
    <row r="81" spans="2:10" s="81" customFormat="1">
      <c r="C81" s="108"/>
      <c r="D81" s="105"/>
      <c r="E81" s="106" t="str">
        <f>VLOOKUP(E80,MD!$C$6:$M$68,3,FALSE())</f>
        <v>肇青一隊</v>
      </c>
      <c r="F81" s="119"/>
      <c r="G81" s="130"/>
      <c r="H81" s="105"/>
      <c r="I81" s="105"/>
    </row>
    <row r="82" spans="2:10" s="81" customFormat="1" ht="18">
      <c r="C82" s="108"/>
      <c r="D82" s="105"/>
      <c r="E82" s="129"/>
      <c r="F82" s="129"/>
      <c r="G82" s="124" t="s">
        <v>502</v>
      </c>
      <c r="H82" s="125"/>
      <c r="I82" s="126" t="str">
        <f>G85</f>
        <v>小矮人</v>
      </c>
      <c r="J82" s="127" t="s">
        <v>503</v>
      </c>
    </row>
    <row r="83" spans="2:10" s="81" customFormat="1">
      <c r="C83" s="108"/>
      <c r="D83" s="105"/>
      <c r="E83" s="129" t="s">
        <v>245</v>
      </c>
      <c r="F83" s="129"/>
      <c r="G83" s="130" t="s">
        <v>504</v>
      </c>
      <c r="H83" s="105"/>
      <c r="I83" s="105"/>
    </row>
    <row r="84" spans="2:10" s="81" customFormat="1">
      <c r="C84" s="108"/>
      <c r="D84" s="105"/>
      <c r="E84" s="112" t="str">
        <f>VLOOKUP(E83,MD!$C$6:$M$68,3,FALSE())</f>
        <v>小矮人</v>
      </c>
      <c r="F84" s="107"/>
      <c r="G84" s="128"/>
      <c r="H84" s="105"/>
      <c r="I84" s="105"/>
    </row>
    <row r="85" spans="2:10">
      <c r="B85" s="108" t="s">
        <v>350</v>
      </c>
      <c r="C85" s="134"/>
      <c r="D85" s="105"/>
      <c r="E85" s="105"/>
      <c r="F85" s="111" t="s">
        <v>505</v>
      </c>
      <c r="G85" s="131" t="str">
        <f>E84</f>
        <v>小矮人</v>
      </c>
      <c r="H85" s="105"/>
      <c r="I85" s="105"/>
    </row>
    <row r="86" spans="2:10">
      <c r="B86" s="112" t="str">
        <f>VLOOKUP(B85,MD!$C$6:$M$68,3,FALSE())</f>
        <v>沙臻</v>
      </c>
      <c r="C86" s="107"/>
      <c r="D86" s="105"/>
      <c r="E86" s="105"/>
      <c r="F86" s="114" t="s">
        <v>506</v>
      </c>
      <c r="G86" s="108"/>
      <c r="H86" s="105"/>
      <c r="I86" s="105"/>
    </row>
    <row r="87" spans="2:10">
      <c r="B87" s="137"/>
      <c r="C87" s="111" t="s">
        <v>507</v>
      </c>
      <c r="D87" s="139"/>
      <c r="E87" s="115" t="str">
        <f>B86</f>
        <v>沙臻</v>
      </c>
      <c r="F87" s="119"/>
      <c r="G87" s="129"/>
      <c r="H87" s="105"/>
      <c r="I87" s="105"/>
    </row>
    <row r="88" spans="2:10">
      <c r="B88" s="121" t="s">
        <v>416</v>
      </c>
      <c r="C88" s="114" t="s">
        <v>508</v>
      </c>
      <c r="D88" s="105"/>
      <c r="E88" s="108"/>
      <c r="F88" s="105"/>
      <c r="G88" s="108"/>
      <c r="H88" s="105"/>
      <c r="I88" s="105"/>
    </row>
    <row r="89" spans="2:10">
      <c r="B89" s="106" t="str">
        <f>VLOOKUP(B88,MD!$C$6:$M$68,3,FALSE())</f>
        <v>DBS 2</v>
      </c>
      <c r="C89" s="139"/>
      <c r="D89" s="105"/>
      <c r="G89" s="108"/>
      <c r="H89" s="105"/>
      <c r="I89" s="105"/>
    </row>
    <row r="90" spans="2:10">
      <c r="B90" s="110"/>
      <c r="C90" s="110"/>
      <c r="D90" s="105"/>
      <c r="E90" s="108" t="s">
        <v>251</v>
      </c>
      <c r="F90" s="134"/>
      <c r="G90" s="108"/>
      <c r="H90" s="105"/>
      <c r="I90" s="105"/>
    </row>
    <row r="91" spans="2:10">
      <c r="B91" s="108"/>
      <c r="C91" s="105"/>
      <c r="D91" s="105"/>
      <c r="E91" s="112" t="str">
        <f>VLOOKUP(E90,MD!$C$6:$M$68,3,FALSE())</f>
        <v>咩都好</v>
      </c>
      <c r="F91" s="107"/>
      <c r="G91" s="108"/>
      <c r="H91" s="105"/>
      <c r="I91" s="105"/>
    </row>
    <row r="92" spans="2:10">
      <c r="B92" s="108" t="s">
        <v>326</v>
      </c>
      <c r="C92" s="134"/>
      <c r="D92" s="105"/>
      <c r="E92" s="110"/>
      <c r="F92" s="111" t="s">
        <v>509</v>
      </c>
      <c r="G92" s="108"/>
      <c r="H92" s="105"/>
      <c r="I92" s="105"/>
    </row>
    <row r="93" spans="2:10">
      <c r="B93" s="112" t="str">
        <f>VLOOKUP(B92,MD!$C$6:$M$68,3,FALSE())</f>
        <v>Kaher Moka</v>
      </c>
      <c r="C93" s="141"/>
      <c r="D93" s="105"/>
      <c r="E93" s="105"/>
      <c r="F93" s="114" t="s">
        <v>510</v>
      </c>
      <c r="G93" s="115" t="str">
        <f>E91</f>
        <v>咩都好</v>
      </c>
      <c r="H93" s="105"/>
      <c r="I93" s="105"/>
    </row>
    <row r="94" spans="2:10">
      <c r="B94" s="137"/>
      <c r="C94" s="111" t="s">
        <v>511</v>
      </c>
      <c r="D94" s="139"/>
      <c r="E94" s="115" t="str">
        <f>B93</f>
        <v>Kaher Moka</v>
      </c>
      <c r="F94" s="119"/>
      <c r="G94" s="130"/>
      <c r="H94" s="105"/>
      <c r="I94" s="105"/>
    </row>
    <row r="95" spans="2:10" ht="18">
      <c r="B95" s="121" t="s">
        <v>421</v>
      </c>
      <c r="C95" s="142" t="s">
        <v>512</v>
      </c>
      <c r="D95" s="105"/>
      <c r="E95" s="129"/>
      <c r="F95" s="129"/>
      <c r="G95" s="124" t="s">
        <v>513</v>
      </c>
      <c r="H95" s="125"/>
      <c r="I95" s="126" t="str">
        <f>G98</f>
        <v>毫無破綻</v>
      </c>
      <c r="J95" s="127" t="s">
        <v>514</v>
      </c>
    </row>
    <row r="96" spans="2:10">
      <c r="B96" s="106" t="str">
        <f>VLOOKUP(B95,MD!$C$6:$M$68,3,FALSE())</f>
        <v>係咁先啦</v>
      </c>
      <c r="C96" s="139"/>
      <c r="D96" s="105"/>
      <c r="E96" s="129" t="s">
        <v>269</v>
      </c>
      <c r="F96" s="129"/>
      <c r="G96" s="130" t="s">
        <v>463</v>
      </c>
      <c r="H96" s="105"/>
      <c r="I96" s="105"/>
    </row>
    <row r="97" spans="2:10" s="81" customFormat="1">
      <c r="C97" s="108"/>
      <c r="D97" s="105"/>
      <c r="E97" s="112" t="str">
        <f>VLOOKUP(E96,MD!$C$6:$M$68,3,FALSE())</f>
        <v>毫無破綻</v>
      </c>
      <c r="F97" s="107"/>
      <c r="G97" s="128"/>
      <c r="H97" s="105"/>
      <c r="I97" s="105"/>
    </row>
    <row r="98" spans="2:10" s="81" customFormat="1">
      <c r="C98" s="108"/>
      <c r="D98" s="105"/>
      <c r="E98" s="105"/>
      <c r="F98" s="111" t="s">
        <v>515</v>
      </c>
      <c r="G98" s="131" t="str">
        <f>E97</f>
        <v>毫無破綻</v>
      </c>
      <c r="H98" s="105"/>
      <c r="I98" s="105"/>
    </row>
    <row r="99" spans="2:10" s="81" customFormat="1">
      <c r="C99" s="108"/>
      <c r="D99" s="105"/>
      <c r="E99" s="105" t="s">
        <v>368</v>
      </c>
      <c r="F99" s="114" t="s">
        <v>516</v>
      </c>
      <c r="G99" s="108"/>
      <c r="H99" s="105"/>
      <c r="I99" s="105"/>
    </row>
    <row r="100" spans="2:10" s="81" customFormat="1">
      <c r="C100" s="108"/>
      <c r="D100" s="105"/>
      <c r="E100" s="106" t="str">
        <f>VLOOKUP(E99,MD!$C$6:$M$68,3,FALSE())</f>
        <v>肇青二隊</v>
      </c>
      <c r="F100" s="119"/>
      <c r="G100" s="129"/>
      <c r="H100" s="105"/>
      <c r="I100" s="105"/>
    </row>
    <row r="101" spans="2:10" s="81" customFormat="1">
      <c r="C101" s="108"/>
      <c r="D101" s="105"/>
      <c r="E101" s="108"/>
      <c r="F101" s="105"/>
      <c r="G101" s="129"/>
      <c r="H101" s="132"/>
      <c r="I101" s="105"/>
    </row>
    <row r="102" spans="2:10" s="81" customFormat="1">
      <c r="C102" s="108"/>
      <c r="D102" s="105"/>
      <c r="E102" s="108" t="s">
        <v>305</v>
      </c>
      <c r="F102" s="134"/>
      <c r="G102" s="108"/>
      <c r="H102" s="105"/>
      <c r="I102" s="105"/>
    </row>
    <row r="103" spans="2:10" s="81" customFormat="1">
      <c r="C103" s="108"/>
      <c r="D103" s="105"/>
      <c r="E103" s="112" t="str">
        <f>VLOOKUP(E102,MD!$C$6:$M$68,3,FALSE())</f>
        <v>SCAA肥高</v>
      </c>
      <c r="F103" s="107"/>
      <c r="G103" s="108"/>
      <c r="H103" s="105"/>
      <c r="I103" s="105"/>
    </row>
    <row r="104" spans="2:10" s="81" customFormat="1">
      <c r="C104" s="108"/>
      <c r="D104" s="105"/>
      <c r="E104" s="110"/>
      <c r="F104" s="111" t="s">
        <v>517</v>
      </c>
      <c r="G104" s="108"/>
      <c r="H104" s="105"/>
      <c r="I104" s="105"/>
    </row>
    <row r="105" spans="2:10" s="81" customFormat="1">
      <c r="C105" s="108"/>
      <c r="D105" s="105"/>
      <c r="E105" s="105" t="s">
        <v>403</v>
      </c>
      <c r="F105" s="114" t="s">
        <v>518</v>
      </c>
      <c r="G105" s="115" t="str">
        <f>E103</f>
        <v>SCAA肥高</v>
      </c>
      <c r="H105" s="105"/>
      <c r="I105" s="105"/>
    </row>
    <row r="106" spans="2:10" s="81" customFormat="1">
      <c r="C106" s="108"/>
      <c r="D106" s="105"/>
      <c r="E106" s="106" t="str">
        <f>VLOOKUP(E105,MD!$C$6:$M$68,3,FALSE())</f>
        <v>LYKC</v>
      </c>
      <c r="F106" s="119"/>
      <c r="G106" s="130"/>
      <c r="H106" s="105"/>
      <c r="I106" s="105"/>
    </row>
    <row r="107" spans="2:10" s="81" customFormat="1" ht="18">
      <c r="C107" s="108"/>
      <c r="D107" s="105"/>
      <c r="E107" s="129"/>
      <c r="F107" s="129"/>
      <c r="G107" s="124" t="s">
        <v>519</v>
      </c>
      <c r="H107" s="125"/>
      <c r="I107" s="126" t="str">
        <f>G110</f>
        <v xml:space="preserve">Sunflower </v>
      </c>
      <c r="J107" s="127" t="s">
        <v>520</v>
      </c>
    </row>
    <row r="108" spans="2:10" s="81" customFormat="1">
      <c r="C108" s="108"/>
      <c r="D108" s="105"/>
      <c r="E108" s="129" t="s">
        <v>221</v>
      </c>
      <c r="F108" s="129"/>
      <c r="G108" s="130" t="s">
        <v>521</v>
      </c>
      <c r="H108" s="105"/>
      <c r="I108" s="105"/>
    </row>
    <row r="109" spans="2:10" s="81" customFormat="1">
      <c r="C109" s="108"/>
      <c r="D109" s="105"/>
      <c r="E109" s="106" t="str">
        <f>VLOOKUP(E108,MD!$C$6:$M$68,3,FALSE())</f>
        <v>隨心96</v>
      </c>
      <c r="F109" s="107"/>
      <c r="G109" s="128"/>
      <c r="H109" s="105"/>
      <c r="I109" s="105"/>
    </row>
    <row r="110" spans="2:10">
      <c r="B110" s="108" t="s">
        <v>397</v>
      </c>
      <c r="C110" s="134"/>
      <c r="D110" s="105"/>
      <c r="E110" s="105"/>
      <c r="F110" s="111" t="s">
        <v>522</v>
      </c>
      <c r="G110" s="131" t="str">
        <f>E112</f>
        <v xml:space="preserve">Sunflower </v>
      </c>
      <c r="H110" s="105"/>
      <c r="I110" s="105"/>
    </row>
    <row r="111" spans="2:10">
      <c r="B111" s="106" t="str">
        <f>VLOOKUP(B110,MD!$C$6:$M$68,3,FALSE())</f>
        <v>老仁A</v>
      </c>
      <c r="C111" s="107"/>
      <c r="D111" s="105"/>
      <c r="E111" s="105"/>
      <c r="F111" s="114" t="s">
        <v>523</v>
      </c>
      <c r="G111" s="108"/>
      <c r="H111" s="105"/>
      <c r="I111" s="105"/>
    </row>
    <row r="112" spans="2:10">
      <c r="B112" s="137"/>
      <c r="C112" s="111" t="s">
        <v>524</v>
      </c>
      <c r="D112" s="117"/>
      <c r="E112" s="118" t="str">
        <f>B114</f>
        <v xml:space="preserve">Sunflower </v>
      </c>
      <c r="F112" s="119"/>
      <c r="G112" s="129"/>
      <c r="H112" s="105"/>
      <c r="I112" s="105"/>
    </row>
    <row r="113" spans="2:9">
      <c r="B113" s="121" t="s">
        <v>373</v>
      </c>
      <c r="C113" s="114" t="s">
        <v>525</v>
      </c>
      <c r="D113" s="105"/>
      <c r="E113" s="105"/>
      <c r="F113" s="105"/>
      <c r="G113" s="105"/>
      <c r="H113" s="105"/>
      <c r="I113" s="105"/>
    </row>
    <row r="114" spans="2:9">
      <c r="B114" s="112" t="str">
        <f>VLOOKUP(B113,MD!$C$6:$M$68,3,FALSE())</f>
        <v xml:space="preserve">Sunflower </v>
      </c>
      <c r="C114" s="139"/>
      <c r="D114" s="105"/>
      <c r="E114" s="105"/>
      <c r="F114" s="105"/>
      <c r="G114" s="105"/>
      <c r="H114" s="105"/>
      <c r="I114" s="105"/>
    </row>
    <row r="115" spans="2:9" s="81" customFormat="1">
      <c r="C115" s="108"/>
      <c r="D115" s="105"/>
      <c r="E115" s="105"/>
    </row>
    <row r="116" spans="2:9">
      <c r="B116" s="108"/>
      <c r="C116" s="105"/>
      <c r="D116" s="105"/>
    </row>
    <row r="117" spans="2:9">
      <c r="B117" s="108"/>
      <c r="C117" s="105"/>
      <c r="D117" s="105"/>
    </row>
    <row r="118" spans="2:9">
      <c r="B118" s="108"/>
      <c r="C118" s="105"/>
      <c r="D118" s="105"/>
    </row>
    <row r="119" spans="2:9">
      <c r="B119" s="108"/>
      <c r="C119" s="105"/>
      <c r="D119" s="105"/>
    </row>
    <row r="120" spans="2:9">
      <c r="B120" s="108"/>
      <c r="C120" s="105"/>
      <c r="D120" s="105"/>
    </row>
    <row r="121" spans="2:9">
      <c r="B121" s="108"/>
      <c r="C121" s="105"/>
      <c r="D121" s="105"/>
    </row>
    <row r="122" spans="2:9">
      <c r="B122" s="108"/>
      <c r="C122" s="105"/>
      <c r="D122" s="105"/>
    </row>
    <row r="123" spans="2:9">
      <c r="B123" s="108"/>
      <c r="C123" s="105"/>
      <c r="D123" s="105"/>
    </row>
    <row r="124" spans="2:9">
      <c r="B124" s="108"/>
      <c r="C124" s="105"/>
      <c r="D124" s="105"/>
    </row>
    <row r="125" spans="2:9">
      <c r="B125" s="108"/>
      <c r="C125" s="105"/>
      <c r="D125" s="105"/>
    </row>
    <row r="126" spans="2:9">
      <c r="B126" s="108"/>
      <c r="C126" s="105"/>
      <c r="D126" s="105"/>
    </row>
    <row r="127" spans="2:9">
      <c r="B127" s="108"/>
      <c r="C127" s="105"/>
      <c r="D127" s="105"/>
    </row>
    <row r="128" spans="2:9">
      <c r="B128" s="108"/>
      <c r="C128" s="105"/>
      <c r="D128" s="105"/>
    </row>
    <row r="129" spans="2:4">
      <c r="B129" s="108"/>
      <c r="C129" s="105"/>
      <c r="D129" s="105"/>
    </row>
    <row r="130" spans="2:4">
      <c r="B130" s="108"/>
      <c r="C130" s="105"/>
      <c r="D130" s="105"/>
    </row>
    <row r="131" spans="2:4">
      <c r="B131" s="108"/>
      <c r="C131" s="105"/>
      <c r="D131" s="105"/>
    </row>
    <row r="132" spans="2:4">
      <c r="B132" s="108"/>
      <c r="C132" s="105"/>
      <c r="D132" s="105"/>
    </row>
    <row r="133" spans="2:4">
      <c r="B133" s="108"/>
      <c r="C133" s="105"/>
      <c r="D133" s="105"/>
    </row>
    <row r="134" spans="2:4">
      <c r="B134" s="108"/>
      <c r="C134" s="105"/>
      <c r="D134" s="105"/>
    </row>
    <row r="135" spans="2:4">
      <c r="B135" s="108"/>
      <c r="C135" s="105"/>
      <c r="D135" s="105"/>
    </row>
    <row r="136" spans="2:4">
      <c r="B136" s="108"/>
      <c r="C136" s="105"/>
      <c r="D136" s="105"/>
    </row>
    <row r="137" spans="2:4">
      <c r="B137" s="108"/>
      <c r="C137" s="105"/>
      <c r="D137" s="105"/>
    </row>
    <row r="138" spans="2:4">
      <c r="B138" s="108"/>
      <c r="C138" s="105"/>
      <c r="D138" s="105"/>
    </row>
    <row r="139" spans="2:4">
      <c r="B139" s="108"/>
      <c r="C139" s="105"/>
      <c r="D139" s="105"/>
    </row>
    <row r="140" spans="2:4">
      <c r="B140" s="108"/>
      <c r="C140" s="105"/>
      <c r="D140" s="105"/>
    </row>
    <row r="141" spans="2:4">
      <c r="B141" s="108"/>
      <c r="C141" s="105"/>
      <c r="D141" s="105"/>
    </row>
    <row r="142" spans="2:4">
      <c r="B142" s="108"/>
      <c r="C142" s="105"/>
      <c r="D142" s="105"/>
    </row>
    <row r="143" spans="2:4">
      <c r="B143" s="108"/>
      <c r="C143" s="105"/>
      <c r="D143" s="105"/>
    </row>
    <row r="144" spans="2:4">
      <c r="B144" s="108"/>
      <c r="C144" s="105"/>
      <c r="D144" s="105"/>
    </row>
    <row r="145" spans="2:4">
      <c r="B145" s="108"/>
      <c r="C145" s="105"/>
      <c r="D145" s="105"/>
    </row>
    <row r="146" spans="2:4">
      <c r="B146" s="108"/>
      <c r="C146" s="105"/>
      <c r="D146" s="105"/>
    </row>
    <row r="147" spans="2:4">
      <c r="B147" s="108"/>
      <c r="C147" s="105"/>
      <c r="D147" s="105"/>
    </row>
    <row r="148" spans="2:4">
      <c r="B148" s="108"/>
      <c r="C148" s="105"/>
      <c r="D148" s="105"/>
    </row>
    <row r="149" spans="2:4">
      <c r="B149" s="108"/>
      <c r="C149" s="105"/>
      <c r="D149" s="105"/>
    </row>
    <row r="150" spans="2:4">
      <c r="B150" s="108"/>
      <c r="C150" s="105"/>
      <c r="D150" s="105"/>
    </row>
    <row r="151" spans="2:4">
      <c r="B151" s="108"/>
      <c r="C151" s="105"/>
      <c r="D151" s="105"/>
    </row>
    <row r="152" spans="2:4">
      <c r="B152" s="108"/>
      <c r="C152" s="105"/>
      <c r="D152" s="105"/>
    </row>
    <row r="153" spans="2:4">
      <c r="B153" s="108"/>
      <c r="C153" s="105"/>
      <c r="D153" s="105"/>
    </row>
    <row r="154" spans="2:4">
      <c r="B154" s="108"/>
      <c r="C154" s="105"/>
      <c r="D154" s="105"/>
    </row>
    <row r="155" spans="2:4">
      <c r="B155" s="108"/>
      <c r="C155" s="105"/>
      <c r="D155" s="105"/>
    </row>
    <row r="156" spans="2:4">
      <c r="B156" s="108"/>
      <c r="C156" s="105"/>
      <c r="D156" s="105"/>
    </row>
    <row r="157" spans="2:4">
      <c r="B157" s="108"/>
      <c r="C157" s="105"/>
      <c r="D157" s="105"/>
    </row>
    <row r="158" spans="2:4">
      <c r="B158" s="108"/>
      <c r="C158" s="105"/>
      <c r="D158" s="105"/>
    </row>
    <row r="159" spans="2:4">
      <c r="B159" s="108"/>
      <c r="C159" s="105"/>
      <c r="D159" s="105"/>
    </row>
    <row r="160" spans="2:4">
      <c r="B160" s="108"/>
      <c r="C160" s="105"/>
      <c r="D160" s="105"/>
    </row>
    <row r="161" spans="2:4">
      <c r="B161" s="108"/>
      <c r="C161" s="105"/>
      <c r="D161" s="105"/>
    </row>
    <row r="162" spans="2:4">
      <c r="B162" s="108"/>
      <c r="C162" s="105"/>
      <c r="D162" s="105"/>
    </row>
    <row r="163" spans="2:4">
      <c r="B163" s="108"/>
      <c r="C163" s="105"/>
      <c r="D163" s="105"/>
    </row>
    <row r="164" spans="2:4">
      <c r="B164" s="108"/>
      <c r="C164" s="105"/>
      <c r="D164" s="105"/>
    </row>
    <row r="165" spans="2:4">
      <c r="B165" s="108"/>
      <c r="C165" s="105"/>
      <c r="D165" s="105"/>
    </row>
    <row r="166" spans="2:4">
      <c r="B166" s="108"/>
      <c r="C166" s="105"/>
      <c r="D166" s="105"/>
    </row>
    <row r="167" spans="2:4">
      <c r="B167" s="108"/>
      <c r="C167" s="105"/>
      <c r="D167" s="105"/>
    </row>
    <row r="168" spans="2:4">
      <c r="B168" s="108"/>
      <c r="C168" s="105"/>
      <c r="D168" s="105"/>
    </row>
    <row r="169" spans="2:4">
      <c r="B169" s="108"/>
      <c r="C169" s="105"/>
      <c r="D169" s="105"/>
    </row>
    <row r="170" spans="2:4">
      <c r="B170" s="108"/>
      <c r="C170" s="105"/>
      <c r="D170" s="105"/>
    </row>
    <row r="171" spans="2:4">
      <c r="B171" s="108"/>
      <c r="C171" s="105"/>
      <c r="D171" s="105"/>
    </row>
    <row r="172" spans="2:4">
      <c r="B172" s="108"/>
      <c r="C172" s="105"/>
      <c r="D172" s="105"/>
    </row>
    <row r="173" spans="2:4">
      <c r="B173" s="108"/>
      <c r="C173" s="105"/>
      <c r="D173" s="105"/>
    </row>
    <row r="174" spans="2:4">
      <c r="B174" s="108"/>
      <c r="C174" s="105"/>
      <c r="D174" s="105"/>
    </row>
    <row r="175" spans="2:4">
      <c r="B175" s="108"/>
      <c r="C175" s="105"/>
      <c r="D175" s="105"/>
    </row>
    <row r="176" spans="2:4">
      <c r="B176" s="108"/>
      <c r="C176" s="105"/>
      <c r="D176" s="105"/>
    </row>
    <row r="177" spans="2:4">
      <c r="B177" s="108"/>
      <c r="C177" s="105"/>
      <c r="D177" s="105"/>
    </row>
    <row r="178" spans="2:4">
      <c r="B178" s="108"/>
      <c r="C178" s="105"/>
      <c r="D178" s="105"/>
    </row>
    <row r="179" spans="2:4">
      <c r="B179" s="108"/>
      <c r="C179" s="105"/>
      <c r="D179" s="105"/>
    </row>
    <row r="180" spans="2:4">
      <c r="B180" s="108"/>
      <c r="C180" s="105"/>
      <c r="D180" s="105"/>
    </row>
    <row r="181" spans="2:4">
      <c r="B181" s="108"/>
      <c r="C181" s="105"/>
      <c r="D181" s="105"/>
    </row>
    <row r="182" spans="2:4">
      <c r="B182" s="108"/>
      <c r="C182" s="105"/>
      <c r="D182" s="105"/>
    </row>
    <row r="183" spans="2:4">
      <c r="B183" s="108"/>
      <c r="C183" s="105"/>
      <c r="D183" s="105"/>
    </row>
    <row r="184" spans="2:4">
      <c r="B184" s="108"/>
      <c r="C184" s="105"/>
      <c r="D184" s="105"/>
    </row>
    <row r="185" spans="2:4">
      <c r="B185" s="108"/>
      <c r="C185" s="105"/>
      <c r="D185" s="105"/>
    </row>
    <row r="186" spans="2:4">
      <c r="B186" s="108"/>
      <c r="C186" s="105"/>
      <c r="D186" s="105"/>
    </row>
    <row r="187" spans="2:4">
      <c r="B187" s="108"/>
      <c r="C187" s="105"/>
      <c r="D187" s="105"/>
    </row>
    <row r="188" spans="2:4">
      <c r="B188" s="108"/>
      <c r="C188" s="105"/>
      <c r="D188" s="105"/>
    </row>
    <row r="189" spans="2:4">
      <c r="B189" s="108"/>
      <c r="C189" s="105"/>
      <c r="D189" s="105"/>
    </row>
    <row r="190" spans="2:4">
      <c r="B190" s="108"/>
      <c r="C190" s="105"/>
      <c r="D190" s="105"/>
    </row>
    <row r="191" spans="2:4">
      <c r="B191" s="108"/>
      <c r="C191" s="105"/>
      <c r="D191" s="105"/>
    </row>
    <row r="192" spans="2:4">
      <c r="B192" s="108"/>
      <c r="C192" s="105"/>
      <c r="D192" s="105"/>
    </row>
    <row r="193" spans="2:4">
      <c r="B193" s="108"/>
      <c r="C193" s="105"/>
      <c r="D193" s="105"/>
    </row>
    <row r="194" spans="2:4">
      <c r="B194" s="108"/>
      <c r="C194" s="105"/>
      <c r="D194" s="105"/>
    </row>
    <row r="195" spans="2:4">
      <c r="B195" s="108"/>
      <c r="C195" s="105"/>
      <c r="D195" s="105"/>
    </row>
    <row r="196" spans="2:4">
      <c r="B196" s="108"/>
      <c r="C196" s="105"/>
      <c r="D196" s="105"/>
    </row>
    <row r="197" spans="2:4">
      <c r="B197" s="108"/>
      <c r="C197" s="105"/>
      <c r="D197" s="105"/>
    </row>
    <row r="198" spans="2:4">
      <c r="B198" s="108"/>
      <c r="C198" s="105"/>
      <c r="D198" s="105"/>
    </row>
    <row r="199" spans="2:4">
      <c r="B199" s="108"/>
      <c r="C199" s="105"/>
      <c r="D199" s="105"/>
    </row>
    <row r="200" spans="2:4">
      <c r="B200" s="108"/>
      <c r="C200" s="105"/>
      <c r="D200" s="105"/>
    </row>
    <row r="201" spans="2:4">
      <c r="B201" s="108"/>
      <c r="C201" s="105"/>
      <c r="D201" s="105"/>
    </row>
    <row r="202" spans="2:4">
      <c r="B202" s="108"/>
      <c r="C202" s="105"/>
      <c r="D202" s="105"/>
    </row>
    <row r="203" spans="2:4">
      <c r="B203" s="108"/>
      <c r="C203" s="105"/>
      <c r="D203" s="105"/>
    </row>
    <row r="204" spans="2:4">
      <c r="B204" s="108"/>
      <c r="C204" s="105"/>
      <c r="D204" s="105"/>
    </row>
    <row r="205" spans="2:4">
      <c r="B205" s="108"/>
      <c r="C205" s="105"/>
      <c r="D205" s="105"/>
    </row>
    <row r="206" spans="2:4">
      <c r="B206" s="108"/>
      <c r="C206" s="105"/>
      <c r="D206" s="105"/>
    </row>
    <row r="207" spans="2:4">
      <c r="B207" s="108"/>
      <c r="C207" s="105"/>
      <c r="D207" s="105"/>
    </row>
    <row r="208" spans="2:4">
      <c r="B208" s="108"/>
      <c r="C208" s="105"/>
      <c r="D208" s="105"/>
    </row>
    <row r="209" spans="2:4">
      <c r="B209" s="108"/>
      <c r="C209" s="105"/>
      <c r="D209" s="105"/>
    </row>
    <row r="210" spans="2:4">
      <c r="B210" s="108"/>
      <c r="C210" s="105"/>
      <c r="D210" s="105"/>
    </row>
    <row r="211" spans="2:4">
      <c r="B211" s="108"/>
      <c r="C211" s="105"/>
      <c r="D211" s="105"/>
    </row>
    <row r="212" spans="2:4">
      <c r="B212" s="108"/>
      <c r="C212" s="105"/>
      <c r="D212" s="105"/>
    </row>
    <row r="213" spans="2:4">
      <c r="B213" s="108"/>
      <c r="C213" s="105"/>
      <c r="D213" s="105"/>
    </row>
    <row r="214" spans="2:4">
      <c r="B214" s="108"/>
      <c r="C214" s="105"/>
      <c r="D214" s="105"/>
    </row>
    <row r="215" spans="2:4">
      <c r="B215" s="108"/>
      <c r="C215" s="105"/>
      <c r="D215" s="105"/>
    </row>
    <row r="216" spans="2:4">
      <c r="B216" s="108"/>
      <c r="C216" s="105"/>
      <c r="D216" s="105"/>
    </row>
    <row r="217" spans="2:4">
      <c r="B217" s="108"/>
      <c r="C217" s="105"/>
      <c r="D217" s="105"/>
    </row>
    <row r="218" spans="2:4">
      <c r="B218" s="108"/>
      <c r="C218" s="105"/>
      <c r="D218" s="105"/>
    </row>
    <row r="219" spans="2:4">
      <c r="B219" s="108"/>
      <c r="C219" s="105"/>
      <c r="D219" s="105"/>
    </row>
    <row r="220" spans="2:4">
      <c r="B220" s="108"/>
      <c r="C220" s="105"/>
      <c r="D220" s="105"/>
    </row>
    <row r="221" spans="2:4">
      <c r="B221" s="108"/>
      <c r="C221" s="105"/>
      <c r="D221" s="105"/>
    </row>
    <row r="222" spans="2:4">
      <c r="B222" s="108"/>
      <c r="C222" s="105"/>
      <c r="D222" s="105"/>
    </row>
    <row r="223" spans="2:4">
      <c r="B223" s="108"/>
      <c r="C223" s="105"/>
      <c r="D223" s="105"/>
    </row>
    <row r="224" spans="2:4">
      <c r="B224" s="108"/>
      <c r="C224" s="105"/>
      <c r="D224" s="105"/>
    </row>
    <row r="225" spans="2:4">
      <c r="B225" s="108"/>
      <c r="C225" s="105"/>
      <c r="D225" s="105"/>
    </row>
    <row r="226" spans="2:4">
      <c r="B226" s="108"/>
      <c r="C226" s="105"/>
      <c r="D226" s="105"/>
    </row>
    <row r="227" spans="2:4">
      <c r="B227" s="108"/>
      <c r="C227" s="105"/>
      <c r="D227" s="105"/>
    </row>
    <row r="228" spans="2:4">
      <c r="B228" s="108"/>
      <c r="C228" s="105"/>
      <c r="D228" s="105"/>
    </row>
    <row r="229" spans="2:4">
      <c r="B229" s="108"/>
      <c r="C229" s="105"/>
      <c r="D229" s="105"/>
    </row>
    <row r="230" spans="2:4">
      <c r="B230" s="108"/>
      <c r="C230" s="105"/>
      <c r="D230" s="105"/>
    </row>
    <row r="231" spans="2:4">
      <c r="B231" s="108"/>
      <c r="C231" s="105"/>
      <c r="D231" s="105"/>
    </row>
    <row r="232" spans="2:4">
      <c r="B232" s="108"/>
      <c r="C232" s="105"/>
      <c r="D232" s="105"/>
    </row>
    <row r="233" spans="2:4">
      <c r="B233" s="108"/>
      <c r="C233" s="105"/>
      <c r="D233" s="105"/>
    </row>
    <row r="234" spans="2:4">
      <c r="B234" s="108"/>
      <c r="C234" s="105"/>
      <c r="D234" s="105"/>
    </row>
    <row r="235" spans="2:4">
      <c r="B235" s="108"/>
      <c r="C235" s="105"/>
      <c r="D235" s="105"/>
    </row>
    <row r="236" spans="2:4">
      <c r="B236" s="108"/>
      <c r="C236" s="105"/>
      <c r="D236" s="105"/>
    </row>
    <row r="237" spans="2:4">
      <c r="B237" s="108"/>
      <c r="C237" s="105"/>
      <c r="D237" s="105"/>
    </row>
    <row r="238" spans="2:4">
      <c r="B238" s="108"/>
      <c r="C238" s="105"/>
      <c r="D238" s="105"/>
    </row>
    <row r="239" spans="2:4">
      <c r="B239" s="108"/>
      <c r="C239" s="105"/>
      <c r="D239" s="105"/>
    </row>
    <row r="240" spans="2:4">
      <c r="B240" s="108"/>
      <c r="C240" s="105"/>
      <c r="D240" s="105"/>
    </row>
    <row r="241" spans="2:4">
      <c r="B241" s="108"/>
      <c r="C241" s="105"/>
      <c r="D241" s="105"/>
    </row>
    <row r="242" spans="2:4">
      <c r="B242" s="108"/>
      <c r="C242" s="105"/>
      <c r="D242" s="105"/>
    </row>
    <row r="243" spans="2:4">
      <c r="B243" s="108"/>
      <c r="C243" s="105"/>
      <c r="D243" s="105"/>
    </row>
    <row r="244" spans="2:4">
      <c r="B244" s="108"/>
      <c r="C244" s="105"/>
      <c r="D244" s="105"/>
    </row>
    <row r="245" spans="2:4">
      <c r="B245" s="108"/>
      <c r="C245" s="105"/>
      <c r="D245" s="105"/>
    </row>
    <row r="246" spans="2:4">
      <c r="B246" s="108"/>
      <c r="C246" s="105"/>
      <c r="D246" s="105"/>
    </row>
    <row r="247" spans="2:4">
      <c r="B247" s="108"/>
      <c r="C247" s="105"/>
      <c r="D247" s="105"/>
    </row>
    <row r="248" spans="2:4">
      <c r="B248" s="108"/>
      <c r="C248" s="105"/>
      <c r="D248" s="105"/>
    </row>
    <row r="249" spans="2:4">
      <c r="B249" s="108"/>
      <c r="C249" s="105"/>
      <c r="D249" s="105"/>
    </row>
    <row r="250" spans="2:4">
      <c r="B250" s="108"/>
      <c r="C250" s="105"/>
      <c r="D250" s="105"/>
    </row>
    <row r="251" spans="2:4">
      <c r="B251" s="108"/>
      <c r="C251" s="105"/>
      <c r="D251" s="105"/>
    </row>
    <row r="252" spans="2:4">
      <c r="B252" s="108"/>
      <c r="C252" s="105"/>
      <c r="D252" s="105"/>
    </row>
    <row r="253" spans="2:4">
      <c r="B253" s="108"/>
      <c r="C253" s="105"/>
      <c r="D253" s="105"/>
    </row>
    <row r="254" spans="2:4">
      <c r="B254" s="108"/>
      <c r="C254" s="105"/>
      <c r="D254" s="105"/>
    </row>
    <row r="255" spans="2:4">
      <c r="B255" s="108"/>
      <c r="C255" s="105"/>
      <c r="D255" s="105"/>
    </row>
    <row r="256" spans="2:4">
      <c r="B256" s="108"/>
      <c r="C256" s="105"/>
      <c r="D256" s="105"/>
    </row>
    <row r="257" spans="2:4">
      <c r="B257" s="108"/>
      <c r="C257" s="105"/>
      <c r="D257" s="105"/>
    </row>
    <row r="258" spans="2:4">
      <c r="B258" s="108"/>
      <c r="C258" s="105"/>
      <c r="D258" s="105"/>
    </row>
    <row r="259" spans="2:4">
      <c r="B259" s="108"/>
      <c r="C259" s="105"/>
      <c r="D259" s="105"/>
    </row>
    <row r="260" spans="2:4">
      <c r="B260" s="108"/>
      <c r="C260" s="105"/>
      <c r="D260" s="105"/>
    </row>
    <row r="261" spans="2:4">
      <c r="B261" s="108"/>
      <c r="C261" s="105"/>
      <c r="D261" s="105"/>
    </row>
    <row r="262" spans="2:4">
      <c r="B262" s="108"/>
      <c r="C262" s="105"/>
      <c r="D262" s="105"/>
    </row>
    <row r="263" spans="2:4">
      <c r="B263" s="108"/>
      <c r="C263" s="105"/>
      <c r="D263" s="105"/>
    </row>
    <row r="264" spans="2:4">
      <c r="B264" s="108"/>
      <c r="C264" s="105"/>
      <c r="D264" s="105"/>
    </row>
    <row r="265" spans="2:4">
      <c r="B265" s="108"/>
      <c r="C265" s="105"/>
      <c r="D265" s="105"/>
    </row>
    <row r="266" spans="2:4">
      <c r="B266" s="108"/>
      <c r="C266" s="105"/>
      <c r="D266" s="105"/>
    </row>
    <row r="267" spans="2:4">
      <c r="B267" s="108"/>
      <c r="C267" s="105"/>
      <c r="D267" s="105"/>
    </row>
    <row r="268" spans="2:4">
      <c r="B268" s="108"/>
      <c r="C268" s="105"/>
      <c r="D268" s="105"/>
    </row>
    <row r="269" spans="2:4">
      <c r="B269" s="108"/>
      <c r="C269" s="105"/>
      <c r="D269" s="105"/>
    </row>
    <row r="270" spans="2:4">
      <c r="B270" s="108"/>
      <c r="C270" s="105"/>
      <c r="D270" s="105"/>
    </row>
    <row r="271" spans="2:4">
      <c r="B271" s="108"/>
      <c r="C271" s="105"/>
      <c r="D271" s="105"/>
    </row>
    <row r="272" spans="2:4">
      <c r="B272" s="108"/>
      <c r="C272" s="105"/>
      <c r="D272" s="105"/>
    </row>
    <row r="273" spans="2:4">
      <c r="B273" s="108"/>
      <c r="C273" s="105"/>
      <c r="D273" s="105"/>
    </row>
    <row r="274" spans="2:4">
      <c r="B274" s="108"/>
      <c r="C274" s="105"/>
      <c r="D274" s="105"/>
    </row>
    <row r="275" spans="2:4">
      <c r="B275" s="108"/>
      <c r="C275" s="105"/>
      <c r="D275" s="105"/>
    </row>
    <row r="276" spans="2:4">
      <c r="B276" s="108"/>
      <c r="C276" s="105"/>
      <c r="D276" s="105"/>
    </row>
    <row r="277" spans="2:4">
      <c r="B277" s="108"/>
      <c r="C277" s="105"/>
      <c r="D277" s="105"/>
    </row>
    <row r="278" spans="2:4">
      <c r="B278" s="108"/>
      <c r="C278" s="105"/>
      <c r="D278" s="105"/>
    </row>
    <row r="279" spans="2:4">
      <c r="B279" s="108"/>
      <c r="C279" s="105"/>
      <c r="D279" s="105"/>
    </row>
    <row r="280" spans="2:4">
      <c r="B280" s="108"/>
      <c r="C280" s="105"/>
      <c r="D280" s="105"/>
    </row>
    <row r="281" spans="2:4">
      <c r="B281" s="108"/>
      <c r="C281" s="105"/>
      <c r="D281" s="105"/>
    </row>
    <row r="282" spans="2:4">
      <c r="B282" s="108"/>
      <c r="C282" s="105"/>
      <c r="D282" s="105"/>
    </row>
    <row r="283" spans="2:4">
      <c r="B283" s="108"/>
      <c r="C283" s="105"/>
      <c r="D283" s="105"/>
    </row>
    <row r="284" spans="2:4">
      <c r="B284" s="108"/>
      <c r="C284" s="105"/>
      <c r="D284" s="105"/>
    </row>
    <row r="285" spans="2:4">
      <c r="B285" s="108"/>
      <c r="C285" s="105"/>
      <c r="D285" s="105"/>
    </row>
    <row r="286" spans="2:4">
      <c r="B286" s="108"/>
      <c r="C286" s="105"/>
      <c r="D286" s="105"/>
    </row>
    <row r="287" spans="2:4">
      <c r="B287" s="108"/>
      <c r="C287" s="105"/>
      <c r="D287" s="105"/>
    </row>
    <row r="288" spans="2:4">
      <c r="B288" s="108"/>
      <c r="C288" s="105"/>
      <c r="D288" s="105"/>
    </row>
    <row r="289" spans="2:4">
      <c r="B289" s="108"/>
      <c r="C289" s="105"/>
      <c r="D289" s="105"/>
    </row>
    <row r="290" spans="2:4">
      <c r="B290" s="108"/>
      <c r="C290" s="105"/>
      <c r="D290" s="105"/>
    </row>
    <row r="291" spans="2:4">
      <c r="B291" s="108"/>
      <c r="C291" s="105"/>
      <c r="D291" s="105"/>
    </row>
    <row r="292" spans="2:4">
      <c r="B292" s="108"/>
      <c r="C292" s="105"/>
      <c r="D292" s="105"/>
    </row>
    <row r="293" spans="2:4">
      <c r="B293" s="108"/>
      <c r="C293" s="105"/>
      <c r="D293" s="105"/>
    </row>
    <row r="294" spans="2:4">
      <c r="B294" s="108"/>
      <c r="C294" s="105"/>
      <c r="D294" s="105"/>
    </row>
    <row r="295" spans="2:4">
      <c r="B295" s="108"/>
      <c r="C295" s="105"/>
      <c r="D295" s="105"/>
    </row>
    <row r="296" spans="2:4">
      <c r="B296" s="108"/>
      <c r="C296" s="105"/>
      <c r="D296" s="105"/>
    </row>
    <row r="297" spans="2:4">
      <c r="B297" s="108"/>
      <c r="C297" s="105"/>
      <c r="D297" s="105"/>
    </row>
    <row r="298" spans="2:4">
      <c r="B298" s="108"/>
      <c r="C298" s="105"/>
      <c r="D298" s="105"/>
    </row>
    <row r="299" spans="2:4">
      <c r="B299" s="108"/>
      <c r="C299" s="105"/>
      <c r="D299" s="105"/>
    </row>
    <row r="300" spans="2:4">
      <c r="B300" s="108"/>
      <c r="C300" s="105"/>
      <c r="D300" s="105"/>
    </row>
    <row r="301" spans="2:4">
      <c r="B301" s="108"/>
      <c r="C301" s="105"/>
      <c r="D301" s="105"/>
    </row>
    <row r="302" spans="2:4">
      <c r="B302" s="108"/>
      <c r="C302" s="105"/>
      <c r="D302" s="105"/>
    </row>
    <row r="303" spans="2:4">
      <c r="B303" s="108"/>
      <c r="C303" s="105"/>
      <c r="D303" s="105"/>
    </row>
    <row r="304" spans="2:4">
      <c r="B304" s="108"/>
      <c r="C304" s="105"/>
      <c r="D304" s="105"/>
    </row>
    <row r="305" spans="2:4">
      <c r="B305" s="108"/>
      <c r="C305" s="105"/>
      <c r="D305" s="105"/>
    </row>
    <row r="306" spans="2:4">
      <c r="B306" s="108"/>
      <c r="C306" s="105"/>
      <c r="D306" s="105"/>
    </row>
    <row r="307" spans="2:4">
      <c r="B307" s="108"/>
      <c r="C307" s="105"/>
      <c r="D307" s="105"/>
    </row>
    <row r="308" spans="2:4">
      <c r="B308" s="108"/>
      <c r="C308" s="105"/>
      <c r="D308" s="105"/>
    </row>
    <row r="309" spans="2:4">
      <c r="B309" s="108"/>
      <c r="C309" s="105"/>
      <c r="D309" s="105"/>
    </row>
    <row r="310" spans="2:4">
      <c r="B310" s="108"/>
      <c r="C310" s="105"/>
      <c r="D310" s="105"/>
    </row>
    <row r="311" spans="2:4">
      <c r="B311" s="108"/>
      <c r="C311" s="105"/>
      <c r="D311" s="105"/>
    </row>
    <row r="312" spans="2:4">
      <c r="B312" s="108"/>
      <c r="C312" s="105"/>
      <c r="D312" s="105"/>
    </row>
    <row r="313" spans="2:4">
      <c r="B313" s="108"/>
      <c r="C313" s="105"/>
      <c r="D313" s="105"/>
    </row>
    <row r="314" spans="2:4">
      <c r="B314" s="108"/>
      <c r="C314" s="105"/>
      <c r="D314" s="105"/>
    </row>
    <row r="315" spans="2:4">
      <c r="B315" s="108"/>
      <c r="C315" s="105"/>
      <c r="D315" s="105"/>
    </row>
    <row r="316" spans="2:4">
      <c r="B316" s="108"/>
      <c r="C316" s="105"/>
      <c r="D316" s="105"/>
    </row>
    <row r="317" spans="2:4">
      <c r="B317" s="108"/>
      <c r="C317" s="105"/>
      <c r="D317" s="105"/>
    </row>
    <row r="318" spans="2:4">
      <c r="B318" s="108"/>
      <c r="C318" s="105"/>
      <c r="D318" s="105"/>
    </row>
    <row r="319" spans="2:4">
      <c r="B319" s="108"/>
      <c r="C319" s="105"/>
      <c r="D319" s="105"/>
    </row>
    <row r="320" spans="2:4">
      <c r="B320" s="108"/>
      <c r="C320" s="105"/>
      <c r="D320" s="105"/>
    </row>
    <row r="321" spans="2:4">
      <c r="B321" s="108"/>
      <c r="C321" s="105"/>
      <c r="D321" s="105"/>
    </row>
    <row r="322" spans="2:4">
      <c r="B322" s="108"/>
      <c r="C322" s="105"/>
      <c r="D322" s="105"/>
    </row>
    <row r="323" spans="2:4">
      <c r="B323" s="108"/>
      <c r="C323" s="105"/>
      <c r="D323" s="105"/>
    </row>
    <row r="324" spans="2:4">
      <c r="B324" s="108"/>
      <c r="C324" s="105"/>
      <c r="D324" s="105"/>
    </row>
    <row r="325" spans="2:4">
      <c r="B325" s="108"/>
      <c r="C325" s="105"/>
      <c r="D325" s="105"/>
    </row>
    <row r="326" spans="2:4">
      <c r="B326" s="108"/>
      <c r="C326" s="105"/>
      <c r="D326" s="105"/>
    </row>
    <row r="327" spans="2:4">
      <c r="B327" s="108"/>
      <c r="C327" s="105"/>
      <c r="D327" s="105"/>
    </row>
    <row r="328" spans="2:4">
      <c r="B328" s="108"/>
      <c r="C328" s="105"/>
      <c r="D328" s="105"/>
    </row>
    <row r="329" spans="2:4">
      <c r="B329" s="108"/>
      <c r="C329" s="105"/>
      <c r="D329" s="105"/>
    </row>
    <row r="330" spans="2:4">
      <c r="B330" s="108"/>
      <c r="C330" s="105"/>
      <c r="D330" s="105"/>
    </row>
    <row r="331" spans="2:4">
      <c r="B331" s="108"/>
      <c r="C331" s="105"/>
      <c r="D331" s="105"/>
    </row>
    <row r="332" spans="2:4">
      <c r="B332" s="108"/>
      <c r="C332" s="105"/>
      <c r="D332" s="105"/>
    </row>
    <row r="333" spans="2:4">
      <c r="B333" s="108"/>
      <c r="C333" s="105"/>
      <c r="D333" s="105"/>
    </row>
    <row r="334" spans="2:4">
      <c r="B334" s="108"/>
      <c r="C334" s="105"/>
      <c r="D334" s="105"/>
    </row>
    <row r="335" spans="2:4">
      <c r="B335" s="108"/>
      <c r="C335" s="105"/>
      <c r="D335" s="105"/>
    </row>
    <row r="336" spans="2:4">
      <c r="B336" s="108"/>
      <c r="C336" s="105"/>
      <c r="D336" s="105"/>
    </row>
    <row r="337" spans="2:4">
      <c r="B337" s="108"/>
      <c r="C337" s="105"/>
      <c r="D337" s="105"/>
    </row>
    <row r="338" spans="2:4">
      <c r="B338" s="108"/>
      <c r="C338" s="105"/>
      <c r="D338" s="105"/>
    </row>
    <row r="339" spans="2:4">
      <c r="B339" s="108"/>
      <c r="C339" s="105"/>
      <c r="D339" s="105"/>
    </row>
    <row r="340" spans="2:4">
      <c r="B340" s="108"/>
      <c r="C340" s="105"/>
      <c r="D340" s="105"/>
    </row>
    <row r="341" spans="2:4">
      <c r="B341" s="108"/>
      <c r="C341" s="105"/>
      <c r="D341" s="105"/>
    </row>
    <row r="342" spans="2:4">
      <c r="B342" s="108"/>
      <c r="C342" s="105"/>
      <c r="D342" s="105"/>
    </row>
    <row r="343" spans="2:4">
      <c r="B343" s="108"/>
      <c r="C343" s="105"/>
      <c r="D343" s="105"/>
    </row>
    <row r="344" spans="2:4">
      <c r="B344" s="108"/>
      <c r="C344" s="105"/>
      <c r="D344" s="105"/>
    </row>
    <row r="345" spans="2:4">
      <c r="B345" s="108"/>
      <c r="C345" s="105"/>
      <c r="D345" s="105"/>
    </row>
    <row r="346" spans="2:4">
      <c r="B346" s="108"/>
      <c r="C346" s="105"/>
      <c r="D346" s="105"/>
    </row>
    <row r="347" spans="2:4">
      <c r="B347" s="108"/>
      <c r="C347" s="105"/>
      <c r="D347" s="105"/>
    </row>
    <row r="348" spans="2:4">
      <c r="B348" s="108"/>
      <c r="C348" s="105"/>
      <c r="D348" s="105"/>
    </row>
    <row r="349" spans="2:4">
      <c r="B349" s="108"/>
      <c r="C349" s="105"/>
      <c r="D349" s="105"/>
    </row>
    <row r="350" spans="2:4">
      <c r="B350" s="108"/>
      <c r="C350" s="105"/>
      <c r="D350" s="105"/>
    </row>
    <row r="351" spans="2:4">
      <c r="B351" s="108"/>
      <c r="C351" s="105"/>
      <c r="D351" s="105"/>
    </row>
    <row r="352" spans="2:4">
      <c r="B352" s="108"/>
      <c r="C352" s="105"/>
      <c r="D352" s="105"/>
    </row>
    <row r="353" spans="2:4">
      <c r="B353" s="108"/>
      <c r="C353" s="105"/>
      <c r="D353" s="105"/>
    </row>
    <row r="354" spans="2:4">
      <c r="B354" s="108"/>
      <c r="C354" s="105"/>
      <c r="D354" s="105"/>
    </row>
    <row r="355" spans="2:4">
      <c r="B355" s="108"/>
      <c r="C355" s="105"/>
      <c r="D355" s="105"/>
    </row>
    <row r="356" spans="2:4">
      <c r="B356" s="108"/>
      <c r="C356" s="105"/>
      <c r="D356" s="105"/>
    </row>
    <row r="357" spans="2:4">
      <c r="B357" s="108"/>
      <c r="C357" s="105"/>
      <c r="D357" s="105"/>
    </row>
    <row r="358" spans="2:4">
      <c r="B358" s="108"/>
      <c r="C358" s="105"/>
      <c r="D358" s="105"/>
    </row>
    <row r="359" spans="2:4">
      <c r="B359" s="108"/>
      <c r="C359" s="105"/>
      <c r="D359" s="105"/>
    </row>
    <row r="360" spans="2:4">
      <c r="B360" s="108"/>
      <c r="C360" s="105"/>
      <c r="D360" s="105"/>
    </row>
    <row r="361" spans="2:4">
      <c r="B361" s="108"/>
      <c r="C361" s="105"/>
      <c r="D361" s="105"/>
    </row>
    <row r="362" spans="2:4">
      <c r="B362" s="108"/>
      <c r="C362" s="105"/>
      <c r="D362" s="105"/>
    </row>
    <row r="363" spans="2:4">
      <c r="B363" s="108"/>
      <c r="C363" s="105"/>
      <c r="D363" s="105"/>
    </row>
    <row r="364" spans="2:4">
      <c r="B364" s="108"/>
      <c r="C364" s="105"/>
      <c r="D364" s="105"/>
    </row>
    <row r="365" spans="2:4">
      <c r="B365" s="108"/>
      <c r="C365" s="105"/>
      <c r="D365" s="105"/>
    </row>
    <row r="366" spans="2:4">
      <c r="B366" s="108"/>
      <c r="C366" s="105"/>
      <c r="D366" s="105"/>
    </row>
    <row r="367" spans="2:4">
      <c r="B367" s="108"/>
      <c r="C367" s="105"/>
      <c r="D367" s="105"/>
    </row>
    <row r="368" spans="2:4">
      <c r="B368" s="108"/>
      <c r="C368" s="105"/>
      <c r="D368" s="105"/>
    </row>
    <row r="369" spans="2:4">
      <c r="B369" s="108"/>
      <c r="C369" s="105"/>
      <c r="D369" s="105"/>
    </row>
    <row r="370" spans="2:4">
      <c r="B370" s="108"/>
      <c r="C370" s="105"/>
      <c r="D370" s="105"/>
    </row>
    <row r="371" spans="2:4">
      <c r="B371" s="108"/>
      <c r="C371" s="105"/>
      <c r="D371" s="105"/>
    </row>
    <row r="372" spans="2:4">
      <c r="B372" s="108"/>
      <c r="C372" s="105"/>
      <c r="D372" s="105"/>
    </row>
    <row r="373" spans="2:4">
      <c r="B373" s="108"/>
      <c r="C373" s="105"/>
      <c r="D373" s="105"/>
    </row>
    <row r="374" spans="2:4">
      <c r="B374" s="108"/>
      <c r="C374" s="105"/>
      <c r="D374" s="105"/>
    </row>
    <row r="375" spans="2:4">
      <c r="B375" s="108"/>
      <c r="C375" s="105"/>
      <c r="D375" s="105"/>
    </row>
    <row r="376" spans="2:4">
      <c r="B376" s="108"/>
      <c r="C376" s="105"/>
      <c r="D376" s="105"/>
    </row>
    <row r="377" spans="2:4">
      <c r="B377" s="108"/>
      <c r="C377" s="105"/>
      <c r="D377" s="105"/>
    </row>
    <row r="378" spans="2:4">
      <c r="B378" s="108"/>
      <c r="C378" s="105"/>
      <c r="D378" s="105"/>
    </row>
    <row r="379" spans="2:4">
      <c r="B379" s="108"/>
      <c r="C379" s="105"/>
      <c r="D379" s="105"/>
    </row>
    <row r="380" spans="2:4">
      <c r="B380" s="108"/>
      <c r="C380" s="105"/>
      <c r="D380" s="105"/>
    </row>
    <row r="381" spans="2:4">
      <c r="B381" s="108"/>
      <c r="C381" s="105"/>
      <c r="D381" s="105"/>
    </row>
    <row r="382" spans="2:4">
      <c r="B382" s="108"/>
      <c r="C382" s="105"/>
      <c r="D382" s="105"/>
    </row>
    <row r="383" spans="2:4">
      <c r="B383" s="108"/>
      <c r="C383" s="105"/>
      <c r="D383" s="105"/>
    </row>
    <row r="384" spans="2:4">
      <c r="B384" s="108"/>
      <c r="C384" s="105"/>
      <c r="D384" s="105"/>
    </row>
    <row r="385" spans="2:4">
      <c r="B385" s="108"/>
      <c r="C385" s="105"/>
      <c r="D385" s="105"/>
    </row>
    <row r="386" spans="2:4">
      <c r="B386" s="108"/>
      <c r="C386" s="105"/>
      <c r="D386" s="105"/>
    </row>
    <row r="387" spans="2:4">
      <c r="B387" s="108"/>
      <c r="C387" s="105"/>
      <c r="D387" s="105"/>
    </row>
    <row r="388" spans="2:4">
      <c r="B388" s="108"/>
      <c r="C388" s="105"/>
      <c r="D388" s="105"/>
    </row>
    <row r="389" spans="2:4">
      <c r="B389" s="108"/>
      <c r="C389" s="105"/>
      <c r="D389" s="105"/>
    </row>
    <row r="390" spans="2:4">
      <c r="B390" s="108"/>
      <c r="C390" s="105"/>
      <c r="D390" s="105"/>
    </row>
    <row r="391" spans="2:4">
      <c r="B391" s="108"/>
      <c r="C391" s="105"/>
      <c r="D391" s="105"/>
    </row>
    <row r="392" spans="2:4">
      <c r="B392" s="108"/>
      <c r="C392" s="105"/>
      <c r="D392" s="105"/>
    </row>
    <row r="393" spans="2:4">
      <c r="B393" s="108"/>
      <c r="C393" s="105"/>
      <c r="D393" s="105"/>
    </row>
    <row r="394" spans="2:4">
      <c r="B394" s="108"/>
      <c r="C394" s="105"/>
      <c r="D394" s="105"/>
    </row>
    <row r="395" spans="2:4">
      <c r="B395" s="108"/>
      <c r="C395" s="105"/>
      <c r="D395" s="105"/>
    </row>
    <row r="396" spans="2:4">
      <c r="B396" s="108"/>
      <c r="C396" s="105"/>
      <c r="D396" s="105"/>
    </row>
    <row r="397" spans="2:4">
      <c r="B397" s="108"/>
      <c r="C397" s="105"/>
      <c r="D397" s="105"/>
    </row>
    <row r="398" spans="2:4">
      <c r="B398" s="108"/>
      <c r="C398" s="105"/>
      <c r="D398" s="105"/>
    </row>
    <row r="399" spans="2:4">
      <c r="B399" s="108"/>
      <c r="C399" s="105"/>
      <c r="D399" s="105"/>
    </row>
    <row r="400" spans="2:4">
      <c r="B400" s="108"/>
      <c r="C400" s="105"/>
      <c r="D400" s="105"/>
    </row>
    <row r="401" spans="2:4">
      <c r="B401" s="108"/>
      <c r="C401" s="105"/>
      <c r="D401" s="105"/>
    </row>
    <row r="402" spans="2:4">
      <c r="B402" s="108"/>
      <c r="C402" s="105"/>
      <c r="D402" s="105"/>
    </row>
    <row r="403" spans="2:4">
      <c r="B403" s="108"/>
      <c r="C403" s="105"/>
      <c r="D403" s="105"/>
    </row>
    <row r="404" spans="2:4">
      <c r="B404" s="108"/>
      <c r="C404" s="105"/>
      <c r="D404" s="105"/>
    </row>
    <row r="405" spans="2:4">
      <c r="B405" s="108"/>
      <c r="C405" s="105"/>
      <c r="D405" s="105"/>
    </row>
    <row r="406" spans="2:4">
      <c r="B406" s="108"/>
      <c r="C406" s="105"/>
      <c r="D406" s="105"/>
    </row>
    <row r="407" spans="2:4">
      <c r="B407" s="108"/>
      <c r="C407" s="105"/>
      <c r="D407" s="105"/>
    </row>
    <row r="408" spans="2:4">
      <c r="B408" s="108"/>
      <c r="C408" s="105"/>
      <c r="D408" s="105"/>
    </row>
    <row r="409" spans="2:4">
      <c r="B409" s="108"/>
      <c r="C409" s="105"/>
      <c r="D409" s="105"/>
    </row>
    <row r="410" spans="2:4">
      <c r="B410" s="108"/>
      <c r="C410" s="105"/>
      <c r="D410" s="105"/>
    </row>
    <row r="411" spans="2:4">
      <c r="B411" s="108"/>
      <c r="C411" s="105"/>
      <c r="D411" s="105"/>
    </row>
    <row r="412" spans="2:4">
      <c r="B412" s="108"/>
      <c r="C412" s="105"/>
      <c r="D412" s="105"/>
    </row>
    <row r="413" spans="2:4">
      <c r="B413" s="108"/>
      <c r="C413" s="105"/>
      <c r="D413" s="105"/>
    </row>
    <row r="414" spans="2:4">
      <c r="B414" s="108"/>
      <c r="C414" s="105"/>
      <c r="D414" s="105"/>
    </row>
    <row r="415" spans="2:4">
      <c r="B415" s="108"/>
      <c r="C415" s="105"/>
      <c r="D415" s="105"/>
    </row>
    <row r="416" spans="2:4">
      <c r="B416" s="108"/>
      <c r="C416" s="105"/>
      <c r="D416" s="105"/>
    </row>
    <row r="417" spans="2:4">
      <c r="B417" s="108"/>
      <c r="C417" s="105"/>
      <c r="D417" s="105"/>
    </row>
    <row r="418" spans="2:4">
      <c r="B418" s="108"/>
      <c r="C418" s="105"/>
      <c r="D418" s="105"/>
    </row>
    <row r="419" spans="2:4">
      <c r="B419" s="108"/>
      <c r="C419" s="105"/>
      <c r="D419" s="105"/>
    </row>
    <row r="420" spans="2:4">
      <c r="B420" s="108"/>
      <c r="C420" s="105"/>
      <c r="D420" s="105"/>
    </row>
    <row r="421" spans="2:4">
      <c r="B421" s="108"/>
      <c r="C421" s="105"/>
      <c r="D421" s="105"/>
    </row>
    <row r="422" spans="2:4">
      <c r="B422" s="108"/>
      <c r="C422" s="105"/>
      <c r="D422" s="105"/>
    </row>
    <row r="423" spans="2:4">
      <c r="B423" s="108"/>
      <c r="C423" s="105"/>
      <c r="D423" s="105"/>
    </row>
    <row r="424" spans="2:4">
      <c r="B424" s="108"/>
      <c r="C424" s="105"/>
      <c r="D424" s="105"/>
    </row>
    <row r="425" spans="2:4">
      <c r="B425" s="108"/>
      <c r="C425" s="105"/>
      <c r="D425" s="105"/>
    </row>
    <row r="426" spans="2:4">
      <c r="B426" s="108"/>
      <c r="C426" s="105"/>
      <c r="D426" s="105"/>
    </row>
    <row r="427" spans="2:4">
      <c r="B427" s="108"/>
      <c r="C427" s="105"/>
      <c r="D427" s="105"/>
    </row>
    <row r="428" spans="2:4">
      <c r="B428" s="108"/>
      <c r="C428" s="105"/>
      <c r="D428" s="105"/>
    </row>
    <row r="429" spans="2:4">
      <c r="B429" s="108"/>
      <c r="C429" s="105"/>
      <c r="D429" s="105"/>
    </row>
    <row r="430" spans="2:4">
      <c r="B430" s="108"/>
      <c r="C430" s="105"/>
      <c r="D430" s="105"/>
    </row>
    <row r="431" spans="2:4">
      <c r="B431" s="108"/>
      <c r="C431" s="105"/>
      <c r="D431" s="105"/>
    </row>
    <row r="432" spans="2:4">
      <c r="B432" s="108"/>
      <c r="C432" s="105"/>
      <c r="D432" s="105"/>
    </row>
    <row r="433" spans="2:4">
      <c r="B433" s="108"/>
      <c r="C433" s="105"/>
      <c r="D433" s="105"/>
    </row>
    <row r="434" spans="2:4">
      <c r="B434" s="108"/>
      <c r="C434" s="105"/>
      <c r="D434" s="105"/>
    </row>
    <row r="435" spans="2:4">
      <c r="B435" s="108"/>
      <c r="C435" s="105"/>
      <c r="D435" s="105"/>
    </row>
    <row r="436" spans="2:4">
      <c r="B436" s="108"/>
      <c r="C436" s="105"/>
      <c r="D436" s="105"/>
    </row>
    <row r="437" spans="2:4">
      <c r="B437" s="108"/>
      <c r="C437" s="105"/>
      <c r="D437" s="105"/>
    </row>
    <row r="438" spans="2:4">
      <c r="B438" s="108"/>
      <c r="C438" s="105"/>
      <c r="D438" s="105"/>
    </row>
    <row r="439" spans="2:4">
      <c r="B439" s="108"/>
      <c r="C439" s="105"/>
      <c r="D439" s="105"/>
    </row>
    <row r="440" spans="2:4">
      <c r="B440" s="108"/>
      <c r="C440" s="105"/>
      <c r="D440" s="105"/>
    </row>
    <row r="441" spans="2:4">
      <c r="B441" s="108"/>
      <c r="C441" s="105"/>
      <c r="D441" s="105"/>
    </row>
    <row r="442" spans="2:4">
      <c r="B442" s="108"/>
      <c r="C442" s="105"/>
      <c r="D442" s="105"/>
    </row>
    <row r="443" spans="2:4">
      <c r="B443" s="108"/>
      <c r="C443" s="105"/>
      <c r="D443" s="105"/>
    </row>
    <row r="444" spans="2:4">
      <c r="B444" s="108"/>
      <c r="C444" s="105"/>
      <c r="D444" s="105"/>
    </row>
    <row r="445" spans="2:4">
      <c r="B445" s="108"/>
      <c r="C445" s="105"/>
      <c r="D445" s="105"/>
    </row>
    <row r="446" spans="2:4">
      <c r="B446" s="108"/>
      <c r="C446" s="105"/>
      <c r="D446" s="105"/>
    </row>
    <row r="447" spans="2:4">
      <c r="B447" s="108"/>
      <c r="C447" s="105"/>
      <c r="D447" s="105"/>
    </row>
    <row r="448" spans="2:4">
      <c r="B448" s="108"/>
      <c r="C448" s="105"/>
      <c r="D448" s="105"/>
    </row>
    <row r="449" spans="2:4">
      <c r="B449" s="108"/>
      <c r="C449" s="105"/>
      <c r="D449" s="105"/>
    </row>
    <row r="450" spans="2:4">
      <c r="B450" s="108"/>
      <c r="C450" s="105"/>
      <c r="D450" s="105"/>
    </row>
    <row r="451" spans="2:4">
      <c r="B451" s="108"/>
      <c r="C451" s="105"/>
      <c r="D451" s="105"/>
    </row>
    <row r="452" spans="2:4">
      <c r="B452" s="108"/>
      <c r="C452" s="105"/>
      <c r="D452" s="105"/>
    </row>
    <row r="453" spans="2:4">
      <c r="B453" s="108"/>
      <c r="C453" s="105"/>
      <c r="D453" s="105"/>
    </row>
    <row r="454" spans="2:4">
      <c r="B454" s="108"/>
      <c r="C454" s="105"/>
      <c r="D454" s="105"/>
    </row>
    <row r="455" spans="2:4">
      <c r="B455" s="108"/>
      <c r="C455" s="105"/>
      <c r="D455" s="105"/>
    </row>
    <row r="456" spans="2:4">
      <c r="B456" s="108"/>
      <c r="C456" s="105"/>
      <c r="D456" s="105"/>
    </row>
    <row r="457" spans="2:4">
      <c r="B457" s="108"/>
      <c r="C457" s="105"/>
      <c r="D457" s="105"/>
    </row>
    <row r="458" spans="2:4">
      <c r="B458" s="108"/>
      <c r="C458" s="105"/>
      <c r="D458" s="105"/>
    </row>
    <row r="459" spans="2:4">
      <c r="B459" s="108"/>
      <c r="C459" s="105"/>
      <c r="D459" s="105"/>
    </row>
    <row r="460" spans="2:4">
      <c r="B460" s="108"/>
      <c r="C460" s="105"/>
      <c r="D460" s="105"/>
    </row>
    <row r="461" spans="2:4">
      <c r="B461" s="108"/>
      <c r="C461" s="105"/>
      <c r="D461" s="105"/>
    </row>
    <row r="462" spans="2:4">
      <c r="B462" s="108"/>
      <c r="C462" s="105"/>
      <c r="D462" s="105"/>
    </row>
    <row r="463" spans="2:4">
      <c r="B463" s="108"/>
      <c r="C463" s="105"/>
      <c r="D463" s="105"/>
    </row>
    <row r="464" spans="2:4">
      <c r="B464" s="108"/>
      <c r="C464" s="105"/>
      <c r="D464" s="105"/>
    </row>
    <row r="465" spans="2:4">
      <c r="B465" s="108"/>
      <c r="C465" s="105"/>
      <c r="D465" s="105"/>
    </row>
    <row r="466" spans="2:4">
      <c r="B466" s="108"/>
      <c r="C466" s="105"/>
      <c r="D466" s="105"/>
    </row>
    <row r="467" spans="2:4">
      <c r="B467" s="108"/>
      <c r="C467" s="105"/>
      <c r="D467" s="105"/>
    </row>
    <row r="468" spans="2:4">
      <c r="B468" s="108"/>
      <c r="C468" s="105"/>
      <c r="D468" s="105"/>
    </row>
    <row r="469" spans="2:4">
      <c r="B469" s="108"/>
      <c r="C469" s="105"/>
      <c r="D469" s="105"/>
    </row>
    <row r="470" spans="2:4">
      <c r="B470" s="108"/>
      <c r="C470" s="105"/>
      <c r="D470" s="105"/>
    </row>
    <row r="471" spans="2:4">
      <c r="B471" s="108"/>
      <c r="C471" s="105"/>
      <c r="D471" s="105"/>
    </row>
    <row r="472" spans="2:4">
      <c r="B472" s="108"/>
      <c r="C472" s="105"/>
      <c r="D472" s="105"/>
    </row>
    <row r="473" spans="2:4">
      <c r="B473" s="108"/>
      <c r="C473" s="105"/>
      <c r="D473" s="105"/>
    </row>
    <row r="474" spans="2:4">
      <c r="B474" s="108"/>
      <c r="C474" s="105"/>
      <c r="D474" s="105"/>
    </row>
    <row r="475" spans="2:4">
      <c r="B475" s="108"/>
      <c r="C475" s="105"/>
      <c r="D475" s="105"/>
    </row>
    <row r="476" spans="2:4">
      <c r="B476" s="108"/>
      <c r="C476" s="105"/>
      <c r="D476" s="105"/>
    </row>
    <row r="477" spans="2:4">
      <c r="B477" s="108"/>
      <c r="C477" s="105"/>
      <c r="D477" s="105"/>
    </row>
    <row r="478" spans="2:4">
      <c r="B478" s="108"/>
      <c r="C478" s="105"/>
      <c r="D478" s="105"/>
    </row>
    <row r="479" spans="2:4">
      <c r="B479" s="108"/>
      <c r="C479" s="105"/>
      <c r="D479" s="105"/>
    </row>
    <row r="480" spans="2:4">
      <c r="B480" s="108"/>
      <c r="C480" s="105"/>
      <c r="D480" s="105"/>
    </row>
    <row r="481" spans="2:4">
      <c r="B481" s="108"/>
      <c r="C481" s="105"/>
      <c r="D481" s="105"/>
    </row>
    <row r="482" spans="2:4">
      <c r="B482" s="108"/>
      <c r="C482" s="105"/>
      <c r="D482" s="105"/>
    </row>
    <row r="483" spans="2:4">
      <c r="B483" s="108"/>
      <c r="C483" s="105"/>
      <c r="D483" s="105"/>
    </row>
    <row r="484" spans="2:4">
      <c r="B484" s="108"/>
      <c r="C484" s="105"/>
      <c r="D484" s="105"/>
    </row>
    <row r="485" spans="2:4">
      <c r="B485" s="108"/>
      <c r="C485" s="105"/>
      <c r="D485" s="105"/>
    </row>
    <row r="486" spans="2:4">
      <c r="B486" s="108"/>
      <c r="C486" s="105"/>
      <c r="D486" s="105"/>
    </row>
    <row r="487" spans="2:4">
      <c r="B487" s="108"/>
      <c r="C487" s="105"/>
      <c r="D487" s="105"/>
    </row>
    <row r="488" spans="2:4">
      <c r="B488" s="108"/>
      <c r="C488" s="105"/>
      <c r="D488" s="105"/>
    </row>
    <row r="489" spans="2:4">
      <c r="B489" s="108"/>
      <c r="C489" s="105"/>
      <c r="D489" s="105"/>
    </row>
    <row r="490" spans="2:4">
      <c r="B490" s="108"/>
      <c r="C490" s="105"/>
      <c r="D490" s="105"/>
    </row>
    <row r="491" spans="2:4">
      <c r="B491" s="108"/>
      <c r="C491" s="105"/>
      <c r="D491" s="105"/>
    </row>
    <row r="492" spans="2:4">
      <c r="B492" s="108"/>
      <c r="C492" s="105"/>
      <c r="D492" s="105"/>
    </row>
    <row r="493" spans="2:4">
      <c r="B493" s="108"/>
      <c r="C493" s="105"/>
      <c r="D493" s="105"/>
    </row>
    <row r="494" spans="2:4">
      <c r="B494" s="108"/>
      <c r="C494" s="105"/>
      <c r="D494" s="105"/>
    </row>
    <row r="495" spans="2:4">
      <c r="B495" s="108"/>
      <c r="C495" s="105"/>
      <c r="D495" s="105"/>
    </row>
    <row r="496" spans="2:4">
      <c r="B496" s="108"/>
      <c r="C496" s="105"/>
      <c r="D496" s="105"/>
    </row>
    <row r="497" spans="2:4">
      <c r="B497" s="108"/>
      <c r="C497" s="105"/>
      <c r="D497" s="105"/>
    </row>
    <row r="498" spans="2:4">
      <c r="B498" s="108"/>
      <c r="C498" s="105"/>
      <c r="D498" s="105"/>
    </row>
    <row r="499" spans="2:4">
      <c r="B499" s="108"/>
      <c r="C499" s="105"/>
      <c r="D499" s="105"/>
    </row>
    <row r="500" spans="2:4">
      <c r="B500" s="108"/>
      <c r="C500" s="105"/>
      <c r="D500" s="105"/>
    </row>
    <row r="501" spans="2:4">
      <c r="B501" s="108"/>
      <c r="C501" s="105"/>
      <c r="D501" s="105"/>
    </row>
    <row r="502" spans="2:4">
      <c r="B502" s="108"/>
      <c r="C502" s="105"/>
      <c r="D502" s="105"/>
    </row>
    <row r="503" spans="2:4">
      <c r="B503" s="108"/>
      <c r="C503" s="105"/>
      <c r="D503" s="105"/>
    </row>
    <row r="504" spans="2:4">
      <c r="B504" s="108"/>
      <c r="C504" s="105"/>
      <c r="D504" s="105"/>
    </row>
    <row r="505" spans="2:4">
      <c r="B505" s="108"/>
      <c r="C505" s="105"/>
      <c r="D505" s="105"/>
    </row>
    <row r="506" spans="2:4">
      <c r="B506" s="108"/>
      <c r="C506" s="105"/>
      <c r="D506" s="105"/>
    </row>
    <row r="507" spans="2:4">
      <c r="B507" s="108"/>
      <c r="C507" s="105"/>
      <c r="D507" s="105"/>
    </row>
    <row r="508" spans="2:4">
      <c r="B508" s="108"/>
      <c r="C508" s="105"/>
      <c r="D508" s="105"/>
    </row>
    <row r="509" spans="2:4">
      <c r="B509" s="108"/>
      <c r="C509" s="105"/>
      <c r="D509" s="105"/>
    </row>
    <row r="510" spans="2:4">
      <c r="B510" s="108"/>
      <c r="C510" s="105"/>
      <c r="D510" s="105"/>
    </row>
    <row r="511" spans="2:4">
      <c r="B511" s="108"/>
      <c r="C511" s="105"/>
      <c r="D511" s="105"/>
    </row>
    <row r="512" spans="2:4">
      <c r="B512" s="108"/>
      <c r="C512" s="105"/>
      <c r="D512" s="105"/>
    </row>
    <row r="513" spans="2:4">
      <c r="B513" s="108"/>
      <c r="C513" s="105"/>
      <c r="D513" s="105"/>
    </row>
    <row r="514" spans="2:4">
      <c r="B514" s="108"/>
      <c r="C514" s="105"/>
      <c r="D514" s="105"/>
    </row>
    <row r="515" spans="2:4">
      <c r="B515" s="108"/>
      <c r="C515" s="105"/>
      <c r="D515" s="105"/>
    </row>
    <row r="516" spans="2:4">
      <c r="B516" s="108"/>
      <c r="C516" s="105"/>
      <c r="D516" s="105"/>
    </row>
    <row r="517" spans="2:4">
      <c r="B517" s="108"/>
      <c r="C517" s="105"/>
      <c r="D517" s="105"/>
    </row>
    <row r="518" spans="2:4">
      <c r="B518" s="108"/>
      <c r="C518" s="105"/>
      <c r="D518" s="105"/>
    </row>
    <row r="519" spans="2:4">
      <c r="B519" s="108"/>
      <c r="C519" s="105"/>
      <c r="D519" s="105"/>
    </row>
    <row r="520" spans="2:4">
      <c r="B520" s="108"/>
      <c r="C520" s="105"/>
      <c r="D520" s="105"/>
    </row>
    <row r="521" spans="2:4">
      <c r="B521" s="108"/>
      <c r="C521" s="105"/>
      <c r="D521" s="105"/>
    </row>
    <row r="522" spans="2:4">
      <c r="B522" s="108"/>
      <c r="C522" s="105"/>
      <c r="D522" s="105"/>
    </row>
    <row r="523" spans="2:4">
      <c r="B523" s="108"/>
      <c r="C523" s="105"/>
      <c r="D523" s="105"/>
    </row>
    <row r="524" spans="2:4">
      <c r="B524" s="108"/>
      <c r="C524" s="105"/>
      <c r="D524" s="105"/>
    </row>
    <row r="525" spans="2:4">
      <c r="B525" s="108"/>
      <c r="C525" s="105"/>
      <c r="D525" s="105"/>
    </row>
    <row r="526" spans="2:4">
      <c r="B526" s="108"/>
      <c r="C526" s="105"/>
      <c r="D526" s="105"/>
    </row>
    <row r="527" spans="2:4">
      <c r="B527" s="108"/>
      <c r="C527" s="105"/>
      <c r="D527" s="105"/>
    </row>
    <row r="528" spans="2:4">
      <c r="B528" s="108"/>
      <c r="C528" s="105"/>
      <c r="D528" s="105"/>
    </row>
    <row r="529" spans="2:4">
      <c r="B529" s="108"/>
      <c r="C529" s="105"/>
      <c r="D529" s="105"/>
    </row>
    <row r="530" spans="2:4">
      <c r="B530" s="108"/>
      <c r="C530" s="105"/>
      <c r="D530" s="105"/>
    </row>
    <row r="531" spans="2:4">
      <c r="B531" s="108"/>
      <c r="C531" s="105"/>
      <c r="D531" s="105"/>
    </row>
    <row r="532" spans="2:4">
      <c r="B532" s="108"/>
      <c r="C532" s="105"/>
      <c r="D532" s="105"/>
    </row>
    <row r="533" spans="2:4">
      <c r="B533" s="108"/>
      <c r="C533" s="105"/>
      <c r="D533" s="105"/>
    </row>
    <row r="534" spans="2:4">
      <c r="B534" s="108"/>
      <c r="C534" s="105"/>
      <c r="D534" s="105"/>
    </row>
    <row r="535" spans="2:4">
      <c r="B535" s="108"/>
      <c r="C535" s="105"/>
      <c r="D535" s="105"/>
    </row>
    <row r="536" spans="2:4">
      <c r="B536" s="108"/>
      <c r="C536" s="105"/>
      <c r="D536" s="105"/>
    </row>
    <row r="537" spans="2:4">
      <c r="B537" s="108"/>
      <c r="C537" s="105"/>
      <c r="D537" s="105"/>
    </row>
    <row r="538" spans="2:4">
      <c r="B538" s="108"/>
      <c r="C538" s="105"/>
      <c r="D538" s="105"/>
    </row>
    <row r="539" spans="2:4">
      <c r="B539" s="108"/>
      <c r="C539" s="105"/>
      <c r="D539" s="105"/>
    </row>
    <row r="540" spans="2:4">
      <c r="B540" s="108"/>
      <c r="C540" s="105"/>
      <c r="D540" s="105"/>
    </row>
    <row r="541" spans="2:4">
      <c r="B541" s="108"/>
      <c r="C541" s="105"/>
      <c r="D541" s="105"/>
    </row>
    <row r="542" spans="2:4">
      <c r="B542" s="108"/>
      <c r="C542" s="105"/>
      <c r="D542" s="105"/>
    </row>
    <row r="543" spans="2:4">
      <c r="B543" s="108"/>
      <c r="C543" s="105"/>
      <c r="D543" s="105"/>
    </row>
    <row r="544" spans="2:4">
      <c r="B544" s="108"/>
      <c r="C544" s="105"/>
      <c r="D544" s="105"/>
    </row>
    <row r="545" spans="2:4">
      <c r="B545" s="108"/>
      <c r="C545" s="105"/>
      <c r="D545" s="105"/>
    </row>
    <row r="546" spans="2:4">
      <c r="B546" s="108"/>
      <c r="C546" s="105"/>
      <c r="D546" s="105"/>
    </row>
    <row r="547" spans="2:4">
      <c r="B547" s="108"/>
      <c r="C547" s="105"/>
      <c r="D547" s="105"/>
    </row>
    <row r="548" spans="2:4">
      <c r="B548" s="108"/>
      <c r="C548" s="105"/>
      <c r="D548" s="105"/>
    </row>
    <row r="549" spans="2:4">
      <c r="B549" s="108"/>
      <c r="C549" s="105"/>
      <c r="D549" s="105"/>
    </row>
    <row r="550" spans="2:4">
      <c r="B550" s="108"/>
      <c r="C550" s="105"/>
      <c r="D550" s="105"/>
    </row>
    <row r="551" spans="2:4">
      <c r="B551" s="108"/>
      <c r="C551" s="105"/>
      <c r="D551" s="105"/>
    </row>
    <row r="552" spans="2:4">
      <c r="B552" s="108"/>
      <c r="C552" s="105"/>
      <c r="D552" s="105"/>
    </row>
    <row r="553" spans="2:4">
      <c r="B553" s="108"/>
      <c r="C553" s="105"/>
      <c r="D553" s="105"/>
    </row>
    <row r="554" spans="2:4">
      <c r="B554" s="108"/>
      <c r="C554" s="105"/>
      <c r="D554" s="105"/>
    </row>
    <row r="555" spans="2:4">
      <c r="B555" s="108"/>
      <c r="C555" s="105"/>
      <c r="D555" s="105"/>
    </row>
    <row r="556" spans="2:4">
      <c r="B556" s="108"/>
      <c r="C556" s="105"/>
      <c r="D556" s="105"/>
    </row>
    <row r="557" spans="2:4">
      <c r="B557" s="108"/>
      <c r="C557" s="105"/>
      <c r="D557" s="105"/>
    </row>
    <row r="558" spans="2:4">
      <c r="B558" s="108"/>
      <c r="C558" s="105"/>
      <c r="D558" s="105"/>
    </row>
    <row r="559" spans="2:4">
      <c r="B559" s="108"/>
      <c r="C559" s="105"/>
      <c r="D559" s="105"/>
    </row>
    <row r="560" spans="2:4">
      <c r="B560" s="108"/>
      <c r="C560" s="105"/>
      <c r="D560" s="105"/>
    </row>
    <row r="561" spans="2:4">
      <c r="B561" s="108"/>
      <c r="C561" s="105"/>
      <c r="D561" s="105"/>
    </row>
    <row r="562" spans="2:4">
      <c r="B562" s="108"/>
      <c r="C562" s="105"/>
      <c r="D562" s="105"/>
    </row>
    <row r="563" spans="2:4">
      <c r="B563" s="108"/>
      <c r="C563" s="105"/>
      <c r="D563" s="105"/>
    </row>
    <row r="564" spans="2:4">
      <c r="B564" s="108"/>
      <c r="C564" s="105"/>
      <c r="D564" s="105"/>
    </row>
    <row r="565" spans="2:4">
      <c r="B565" s="108"/>
      <c r="C565" s="105"/>
      <c r="D565" s="105"/>
    </row>
    <row r="566" spans="2:4">
      <c r="B566" s="108"/>
      <c r="C566" s="105"/>
      <c r="D566" s="105"/>
    </row>
    <row r="567" spans="2:4">
      <c r="B567" s="108"/>
      <c r="C567" s="105"/>
      <c r="D567" s="105"/>
    </row>
    <row r="568" spans="2:4">
      <c r="B568" s="108"/>
      <c r="C568" s="105"/>
      <c r="D568" s="105"/>
    </row>
    <row r="569" spans="2:4">
      <c r="B569" s="108"/>
      <c r="C569" s="105"/>
      <c r="D569" s="105"/>
    </row>
    <row r="570" spans="2:4">
      <c r="B570" s="108"/>
      <c r="C570" s="105"/>
      <c r="D570" s="105"/>
    </row>
    <row r="571" spans="2:4">
      <c r="B571" s="108"/>
      <c r="C571" s="105"/>
      <c r="D571" s="105"/>
    </row>
    <row r="572" spans="2:4">
      <c r="B572" s="108"/>
      <c r="C572" s="105"/>
      <c r="D572" s="105"/>
    </row>
    <row r="573" spans="2:4">
      <c r="B573" s="108"/>
      <c r="C573" s="105"/>
      <c r="D573" s="105"/>
    </row>
    <row r="574" spans="2:4">
      <c r="B574" s="108"/>
      <c r="C574" s="105"/>
      <c r="D574" s="105"/>
    </row>
    <row r="575" spans="2:4">
      <c r="B575" s="108"/>
      <c r="C575" s="105"/>
      <c r="D575" s="105"/>
    </row>
    <row r="576" spans="2:4">
      <c r="B576" s="108"/>
      <c r="C576" s="105"/>
      <c r="D576" s="105"/>
    </row>
    <row r="577" spans="2:4">
      <c r="B577" s="108"/>
      <c r="C577" s="105"/>
      <c r="D577" s="105"/>
    </row>
    <row r="578" spans="2:4">
      <c r="B578" s="108"/>
      <c r="C578" s="105"/>
      <c r="D578" s="105"/>
    </row>
    <row r="579" spans="2:4">
      <c r="B579" s="108"/>
      <c r="C579" s="105"/>
      <c r="D579" s="105"/>
    </row>
    <row r="580" spans="2:4">
      <c r="B580" s="108"/>
      <c r="C580" s="105"/>
      <c r="D580" s="105"/>
    </row>
    <row r="581" spans="2:4">
      <c r="B581" s="108"/>
      <c r="C581" s="105"/>
      <c r="D581" s="105"/>
    </row>
    <row r="582" spans="2:4">
      <c r="B582" s="108"/>
      <c r="C582" s="105"/>
      <c r="D582" s="105"/>
    </row>
    <row r="583" spans="2:4">
      <c r="B583" s="108"/>
      <c r="C583" s="105"/>
      <c r="D583" s="105"/>
    </row>
    <row r="584" spans="2:4">
      <c r="B584" s="108"/>
      <c r="C584" s="105"/>
      <c r="D584" s="105"/>
    </row>
    <row r="585" spans="2:4">
      <c r="B585" s="108"/>
      <c r="C585" s="105"/>
      <c r="D585" s="105"/>
    </row>
    <row r="586" spans="2:4">
      <c r="B586" s="108"/>
      <c r="C586" s="105"/>
      <c r="D586" s="105"/>
    </row>
    <row r="587" spans="2:4">
      <c r="B587" s="108"/>
      <c r="C587" s="105"/>
      <c r="D587" s="105"/>
    </row>
    <row r="588" spans="2:4">
      <c r="B588" s="108"/>
      <c r="C588" s="105"/>
      <c r="D588" s="105"/>
    </row>
    <row r="589" spans="2:4">
      <c r="B589" s="108"/>
      <c r="C589" s="105"/>
      <c r="D589" s="105"/>
    </row>
    <row r="590" spans="2:4">
      <c r="B590" s="108"/>
      <c r="C590" s="105"/>
      <c r="D590" s="105"/>
    </row>
    <row r="591" spans="2:4">
      <c r="B591" s="108"/>
      <c r="C591" s="105"/>
      <c r="D591" s="105"/>
    </row>
    <row r="592" spans="2:4">
      <c r="B592" s="108"/>
      <c r="C592" s="105"/>
      <c r="D592" s="105"/>
    </row>
    <row r="593" spans="2:4">
      <c r="B593" s="108"/>
      <c r="C593" s="105"/>
      <c r="D593" s="105"/>
    </row>
    <row r="594" spans="2:4">
      <c r="B594" s="108"/>
      <c r="C594" s="105"/>
      <c r="D594" s="105"/>
    </row>
    <row r="595" spans="2:4">
      <c r="B595" s="108"/>
      <c r="C595" s="105"/>
      <c r="D595" s="105"/>
    </row>
    <row r="596" spans="2:4">
      <c r="B596" s="108"/>
      <c r="C596" s="105"/>
      <c r="D596" s="105"/>
    </row>
    <row r="597" spans="2:4">
      <c r="B597" s="108"/>
      <c r="C597" s="105"/>
      <c r="D597" s="105"/>
    </row>
    <row r="598" spans="2:4">
      <c r="B598" s="108"/>
      <c r="C598" s="105"/>
      <c r="D598" s="105"/>
    </row>
    <row r="599" spans="2:4">
      <c r="B599" s="108"/>
      <c r="C599" s="105"/>
      <c r="D599" s="105"/>
    </row>
    <row r="600" spans="2:4">
      <c r="B600" s="108"/>
      <c r="C600" s="105"/>
      <c r="D600" s="105"/>
    </row>
    <row r="601" spans="2:4">
      <c r="B601" s="108"/>
      <c r="C601" s="105"/>
      <c r="D601" s="105"/>
    </row>
    <row r="602" spans="2:4">
      <c r="B602" s="108"/>
      <c r="C602" s="105"/>
      <c r="D602" s="105"/>
    </row>
    <row r="603" spans="2:4">
      <c r="B603" s="108"/>
      <c r="C603" s="105"/>
      <c r="D603" s="105"/>
    </row>
    <row r="604" spans="2:4">
      <c r="B604" s="108"/>
      <c r="C604" s="105"/>
      <c r="D604" s="105"/>
    </row>
    <row r="605" spans="2:4">
      <c r="B605" s="108"/>
      <c r="C605" s="105"/>
      <c r="D605" s="105"/>
    </row>
    <row r="606" spans="2:4">
      <c r="B606" s="108"/>
      <c r="C606" s="105"/>
      <c r="D606" s="105"/>
    </row>
    <row r="607" spans="2:4">
      <c r="B607" s="108"/>
      <c r="C607" s="105"/>
      <c r="D607" s="105"/>
    </row>
    <row r="608" spans="2:4">
      <c r="B608" s="108"/>
      <c r="C608" s="105"/>
      <c r="D608" s="105"/>
    </row>
    <row r="609" spans="2:4">
      <c r="B609" s="108"/>
      <c r="C609" s="105"/>
      <c r="D609" s="105"/>
    </row>
    <row r="610" spans="2:4">
      <c r="B610" s="108"/>
      <c r="C610" s="105"/>
      <c r="D610" s="105"/>
    </row>
    <row r="611" spans="2:4">
      <c r="B611" s="108"/>
      <c r="C611" s="105"/>
      <c r="D611" s="105"/>
    </row>
    <row r="612" spans="2:4">
      <c r="B612" s="108"/>
      <c r="C612" s="105"/>
      <c r="D612" s="105"/>
    </row>
    <row r="613" spans="2:4">
      <c r="B613" s="108"/>
      <c r="C613" s="105"/>
      <c r="D613" s="105"/>
    </row>
    <row r="614" spans="2:4">
      <c r="B614" s="108"/>
      <c r="C614" s="105"/>
      <c r="D614" s="105"/>
    </row>
    <row r="615" spans="2:4">
      <c r="B615" s="108"/>
      <c r="C615" s="105"/>
      <c r="D615" s="105"/>
    </row>
    <row r="616" spans="2:4">
      <c r="B616" s="108"/>
      <c r="C616" s="105"/>
      <c r="D616" s="105"/>
    </row>
    <row r="617" spans="2:4">
      <c r="B617" s="108"/>
      <c r="C617" s="105"/>
      <c r="D617" s="105"/>
    </row>
    <row r="618" spans="2:4">
      <c r="B618" s="108"/>
      <c r="C618" s="105"/>
      <c r="D618" s="105"/>
    </row>
    <row r="619" spans="2:4">
      <c r="B619" s="108"/>
      <c r="C619" s="105"/>
      <c r="D619" s="105"/>
    </row>
    <row r="620" spans="2:4">
      <c r="B620" s="108"/>
      <c r="C620" s="105"/>
      <c r="D620" s="105"/>
    </row>
    <row r="621" spans="2:4">
      <c r="B621" s="108"/>
      <c r="C621" s="105"/>
      <c r="D621" s="105"/>
    </row>
    <row r="622" spans="2:4">
      <c r="B622" s="108"/>
      <c r="C622" s="105"/>
      <c r="D622" s="105"/>
    </row>
    <row r="623" spans="2:4">
      <c r="B623" s="108"/>
      <c r="C623" s="105"/>
      <c r="D623" s="105"/>
    </row>
    <row r="624" spans="2:4">
      <c r="B624" s="108"/>
      <c r="C624" s="105"/>
      <c r="D624" s="105"/>
    </row>
    <row r="625" spans="2:4">
      <c r="B625" s="108"/>
      <c r="C625" s="105"/>
      <c r="D625" s="105"/>
    </row>
    <row r="626" spans="2:4">
      <c r="B626" s="108"/>
      <c r="C626" s="105"/>
      <c r="D626" s="105"/>
    </row>
    <row r="627" spans="2:4">
      <c r="B627" s="108"/>
      <c r="C627" s="105"/>
      <c r="D627" s="105"/>
    </row>
    <row r="628" spans="2:4">
      <c r="B628" s="108"/>
      <c r="C628" s="105"/>
      <c r="D628" s="105"/>
    </row>
    <row r="629" spans="2:4">
      <c r="B629" s="108"/>
      <c r="C629" s="105"/>
      <c r="D629" s="105"/>
    </row>
    <row r="630" spans="2:4">
      <c r="B630" s="108"/>
      <c r="C630" s="105"/>
      <c r="D630" s="105"/>
    </row>
    <row r="631" spans="2:4">
      <c r="B631" s="108"/>
      <c r="C631" s="105"/>
      <c r="D631" s="105"/>
    </row>
    <row r="632" spans="2:4">
      <c r="B632" s="108"/>
      <c r="C632" s="105"/>
      <c r="D632" s="105"/>
    </row>
    <row r="633" spans="2:4">
      <c r="B633" s="108"/>
      <c r="C633" s="105"/>
      <c r="D633" s="105"/>
    </row>
    <row r="634" spans="2:4">
      <c r="B634" s="108"/>
      <c r="C634" s="105"/>
      <c r="D634" s="105"/>
    </row>
    <row r="635" spans="2:4">
      <c r="B635" s="108"/>
      <c r="C635" s="105"/>
      <c r="D635" s="105"/>
    </row>
    <row r="636" spans="2:4">
      <c r="B636" s="108"/>
      <c r="C636" s="105"/>
      <c r="D636" s="105"/>
    </row>
    <row r="637" spans="2:4">
      <c r="B637" s="108"/>
      <c r="C637" s="105"/>
      <c r="D637" s="105"/>
    </row>
    <row r="638" spans="2:4">
      <c r="B638" s="108"/>
      <c r="C638" s="105"/>
      <c r="D638" s="105"/>
    </row>
    <row r="639" spans="2:4">
      <c r="B639" s="108"/>
      <c r="C639" s="105"/>
      <c r="D639" s="105"/>
    </row>
    <row r="640" spans="2:4">
      <c r="B640" s="108"/>
      <c r="C640" s="105"/>
      <c r="D640" s="105"/>
    </row>
    <row r="641" spans="2:4">
      <c r="B641" s="108"/>
      <c r="C641" s="105"/>
      <c r="D641" s="105"/>
    </row>
    <row r="642" spans="2:4">
      <c r="B642" s="108"/>
      <c r="C642" s="105"/>
      <c r="D642" s="105"/>
    </row>
    <row r="643" spans="2:4">
      <c r="B643" s="108"/>
      <c r="C643" s="105"/>
      <c r="D643" s="105"/>
    </row>
    <row r="644" spans="2:4">
      <c r="B644" s="108"/>
      <c r="C644" s="105"/>
      <c r="D644" s="105"/>
    </row>
    <row r="645" spans="2:4">
      <c r="B645" s="108"/>
      <c r="C645" s="105"/>
      <c r="D645" s="105"/>
    </row>
    <row r="646" spans="2:4">
      <c r="B646" s="108"/>
      <c r="C646" s="105"/>
      <c r="D646" s="105"/>
    </row>
    <row r="647" spans="2:4">
      <c r="B647" s="108"/>
      <c r="C647" s="105"/>
      <c r="D647" s="105"/>
    </row>
    <row r="648" spans="2:4">
      <c r="B648" s="108"/>
      <c r="C648" s="105"/>
      <c r="D648" s="105"/>
    </row>
    <row r="649" spans="2:4">
      <c r="B649" s="108"/>
      <c r="C649" s="105"/>
      <c r="D649" s="105"/>
    </row>
    <row r="650" spans="2:4">
      <c r="B650" s="108"/>
      <c r="C650" s="105"/>
      <c r="D650" s="105"/>
    </row>
    <row r="651" spans="2:4">
      <c r="B651" s="108"/>
      <c r="C651" s="105"/>
      <c r="D651" s="105"/>
    </row>
    <row r="652" spans="2:4">
      <c r="B652" s="108"/>
      <c r="C652" s="105"/>
      <c r="D652" s="105"/>
    </row>
    <row r="653" spans="2:4">
      <c r="B653" s="108"/>
      <c r="C653" s="105"/>
      <c r="D653" s="105"/>
    </row>
    <row r="654" spans="2:4">
      <c r="B654" s="108"/>
      <c r="C654" s="105"/>
      <c r="D654" s="105"/>
    </row>
    <row r="655" spans="2:4">
      <c r="B655" s="108"/>
      <c r="C655" s="105"/>
      <c r="D655" s="105"/>
    </row>
    <row r="656" spans="2:4">
      <c r="B656" s="108"/>
      <c r="C656" s="105"/>
      <c r="D656" s="105"/>
    </row>
    <row r="657" spans="2:4">
      <c r="B657" s="108"/>
      <c r="C657" s="105"/>
      <c r="D657" s="105"/>
    </row>
    <row r="658" spans="2:4">
      <c r="B658" s="108"/>
      <c r="C658" s="105"/>
      <c r="D658" s="105"/>
    </row>
    <row r="659" spans="2:4">
      <c r="B659" s="108"/>
      <c r="C659" s="105"/>
      <c r="D659" s="105"/>
    </row>
    <row r="660" spans="2:4">
      <c r="B660" s="108"/>
      <c r="C660" s="105"/>
      <c r="D660" s="105"/>
    </row>
    <row r="661" spans="2:4">
      <c r="B661" s="108"/>
      <c r="C661" s="105"/>
      <c r="D661" s="105"/>
    </row>
    <row r="662" spans="2:4">
      <c r="B662" s="108"/>
      <c r="C662" s="105"/>
      <c r="D662" s="105"/>
    </row>
    <row r="663" spans="2:4">
      <c r="B663" s="108"/>
      <c r="C663" s="105"/>
      <c r="D663" s="105"/>
    </row>
    <row r="664" spans="2:4">
      <c r="B664" s="108"/>
      <c r="C664" s="105"/>
      <c r="D664" s="105"/>
    </row>
    <row r="665" spans="2:4">
      <c r="B665" s="108"/>
      <c r="C665" s="105"/>
      <c r="D665" s="105"/>
    </row>
    <row r="666" spans="2:4">
      <c r="B666" s="108"/>
      <c r="C666" s="105"/>
      <c r="D666" s="105"/>
    </row>
    <row r="667" spans="2:4">
      <c r="B667" s="108"/>
      <c r="C667" s="105"/>
      <c r="D667" s="105"/>
    </row>
    <row r="668" spans="2:4">
      <c r="B668" s="108"/>
      <c r="C668" s="105"/>
      <c r="D668" s="105"/>
    </row>
    <row r="669" spans="2:4">
      <c r="B669" s="108"/>
      <c r="C669" s="105"/>
      <c r="D669" s="105"/>
    </row>
    <row r="670" spans="2:4">
      <c r="B670" s="108"/>
      <c r="C670" s="105"/>
      <c r="D670" s="105"/>
    </row>
    <row r="671" spans="2:4">
      <c r="B671" s="108"/>
      <c r="C671" s="105"/>
      <c r="D671" s="105"/>
    </row>
    <row r="672" spans="2:4">
      <c r="B672" s="108"/>
      <c r="C672" s="105"/>
      <c r="D672" s="105"/>
    </row>
    <row r="673" spans="2:4">
      <c r="B673" s="108"/>
      <c r="C673" s="105"/>
      <c r="D673" s="105"/>
    </row>
    <row r="674" spans="2:4">
      <c r="B674" s="108"/>
      <c r="C674" s="105"/>
      <c r="D674" s="105"/>
    </row>
    <row r="675" spans="2:4">
      <c r="B675" s="108"/>
      <c r="C675" s="105"/>
      <c r="D675" s="105"/>
    </row>
    <row r="676" spans="2:4">
      <c r="B676" s="108"/>
      <c r="C676" s="105"/>
      <c r="D676" s="105"/>
    </row>
    <row r="677" spans="2:4">
      <c r="B677" s="108"/>
      <c r="C677" s="105"/>
      <c r="D677" s="105"/>
    </row>
    <row r="678" spans="2:4">
      <c r="B678" s="108"/>
      <c r="C678" s="105"/>
      <c r="D678" s="105"/>
    </row>
    <row r="679" spans="2:4">
      <c r="B679" s="108"/>
      <c r="C679" s="105"/>
      <c r="D679" s="105"/>
    </row>
    <row r="680" spans="2:4">
      <c r="B680" s="108"/>
      <c r="C680" s="105"/>
      <c r="D680" s="105"/>
    </row>
    <row r="681" spans="2:4">
      <c r="B681" s="108"/>
      <c r="C681" s="105"/>
      <c r="D681" s="105"/>
    </row>
    <row r="682" spans="2:4">
      <c r="B682" s="108"/>
      <c r="C682" s="105"/>
      <c r="D682" s="105"/>
    </row>
    <row r="683" spans="2:4">
      <c r="B683" s="108"/>
      <c r="C683" s="105"/>
      <c r="D683" s="105"/>
    </row>
    <row r="684" spans="2:4">
      <c r="B684" s="108"/>
      <c r="C684" s="105"/>
      <c r="D684" s="105"/>
    </row>
    <row r="685" spans="2:4">
      <c r="B685" s="108"/>
      <c r="C685" s="105"/>
      <c r="D685" s="105"/>
    </row>
    <row r="686" spans="2:4">
      <c r="B686" s="108"/>
      <c r="C686" s="105"/>
      <c r="D686" s="105"/>
    </row>
    <row r="687" spans="2:4">
      <c r="B687" s="108"/>
      <c r="C687" s="105"/>
      <c r="D687" s="105"/>
    </row>
    <row r="688" spans="2:4">
      <c r="B688" s="108"/>
      <c r="C688" s="105"/>
      <c r="D688" s="105"/>
    </row>
    <row r="689" spans="2:4">
      <c r="B689" s="108"/>
      <c r="C689" s="105"/>
      <c r="D689" s="105"/>
    </row>
    <row r="690" spans="2:4">
      <c r="B690" s="108"/>
      <c r="C690" s="105"/>
      <c r="D690" s="105"/>
    </row>
    <row r="691" spans="2:4">
      <c r="B691" s="108"/>
      <c r="C691" s="105"/>
      <c r="D691" s="105"/>
    </row>
    <row r="692" spans="2:4">
      <c r="B692" s="108"/>
      <c r="C692" s="105"/>
      <c r="D692" s="105"/>
    </row>
    <row r="693" spans="2:4">
      <c r="B693" s="108"/>
      <c r="C693" s="105"/>
      <c r="D693" s="105"/>
    </row>
    <row r="694" spans="2:4">
      <c r="B694" s="108"/>
      <c r="C694" s="105"/>
      <c r="D694" s="105"/>
    </row>
    <row r="695" spans="2:4">
      <c r="B695" s="108"/>
      <c r="C695" s="105"/>
      <c r="D695" s="105"/>
    </row>
    <row r="696" spans="2:4">
      <c r="B696" s="108"/>
      <c r="C696" s="105"/>
      <c r="D696" s="105"/>
    </row>
    <row r="697" spans="2:4">
      <c r="B697" s="108"/>
      <c r="C697" s="105"/>
      <c r="D697" s="105"/>
    </row>
    <row r="698" spans="2:4">
      <c r="B698" s="108"/>
      <c r="C698" s="105"/>
      <c r="D698" s="105"/>
    </row>
    <row r="699" spans="2:4">
      <c r="B699" s="108"/>
      <c r="C699" s="105"/>
      <c r="D699" s="105"/>
    </row>
    <row r="700" spans="2:4">
      <c r="B700" s="108"/>
      <c r="C700" s="105"/>
      <c r="D700" s="105"/>
    </row>
    <row r="701" spans="2:4">
      <c r="B701" s="108"/>
      <c r="C701" s="105"/>
      <c r="D701" s="105"/>
    </row>
    <row r="702" spans="2:4">
      <c r="B702" s="108"/>
      <c r="C702" s="105"/>
      <c r="D702" s="105"/>
    </row>
    <row r="703" spans="2:4">
      <c r="B703" s="108"/>
      <c r="C703" s="105"/>
      <c r="D703" s="105"/>
    </row>
    <row r="704" spans="2:4">
      <c r="B704" s="108"/>
      <c r="C704" s="105"/>
      <c r="D704" s="105"/>
    </row>
    <row r="705" spans="2:4">
      <c r="B705" s="108"/>
      <c r="C705" s="105"/>
      <c r="D705" s="105"/>
    </row>
    <row r="706" spans="2:4">
      <c r="B706" s="108"/>
      <c r="C706" s="105"/>
      <c r="D706" s="105"/>
    </row>
    <row r="707" spans="2:4">
      <c r="B707" s="108"/>
      <c r="C707" s="105"/>
      <c r="D707" s="105"/>
    </row>
    <row r="708" spans="2:4">
      <c r="B708" s="108"/>
      <c r="C708" s="105"/>
      <c r="D708" s="105"/>
    </row>
    <row r="709" spans="2:4">
      <c r="B709" s="108"/>
      <c r="C709" s="105"/>
      <c r="D709" s="105"/>
    </row>
    <row r="710" spans="2:4">
      <c r="B710" s="108"/>
      <c r="C710" s="105"/>
      <c r="D710" s="105"/>
    </row>
    <row r="711" spans="2:4">
      <c r="B711" s="108"/>
      <c r="C711" s="105"/>
      <c r="D711" s="105"/>
    </row>
    <row r="712" spans="2:4">
      <c r="B712" s="108"/>
      <c r="C712" s="105"/>
      <c r="D712" s="105"/>
    </row>
    <row r="713" spans="2:4">
      <c r="B713" s="108"/>
      <c r="C713" s="105"/>
      <c r="D713" s="105"/>
    </row>
    <row r="714" spans="2:4">
      <c r="B714" s="108"/>
      <c r="C714" s="105"/>
      <c r="D714" s="105"/>
    </row>
    <row r="715" spans="2:4">
      <c r="B715" s="108"/>
      <c r="C715" s="105"/>
      <c r="D715" s="105"/>
    </row>
    <row r="716" spans="2:4">
      <c r="B716" s="108"/>
      <c r="C716" s="105"/>
      <c r="D716" s="105"/>
    </row>
    <row r="717" spans="2:4">
      <c r="B717" s="108"/>
      <c r="C717" s="105"/>
      <c r="D717" s="105"/>
    </row>
    <row r="718" spans="2:4">
      <c r="B718" s="108"/>
      <c r="C718" s="105"/>
      <c r="D718" s="105"/>
    </row>
    <row r="719" spans="2:4">
      <c r="B719" s="108"/>
      <c r="C719" s="105"/>
      <c r="D719" s="105"/>
    </row>
    <row r="720" spans="2:4">
      <c r="B720" s="108"/>
      <c r="C720" s="105"/>
      <c r="D720" s="105"/>
    </row>
    <row r="721" spans="2:4">
      <c r="B721" s="108"/>
      <c r="C721" s="105"/>
      <c r="D721" s="105"/>
    </row>
    <row r="722" spans="2:4">
      <c r="B722" s="108"/>
      <c r="C722" s="105"/>
      <c r="D722" s="105"/>
    </row>
    <row r="723" spans="2:4">
      <c r="B723" s="108"/>
      <c r="C723" s="105"/>
      <c r="D723" s="105"/>
    </row>
    <row r="724" spans="2:4">
      <c r="B724" s="108"/>
      <c r="C724" s="105"/>
      <c r="D724" s="105"/>
    </row>
    <row r="725" spans="2:4">
      <c r="B725" s="108"/>
      <c r="C725" s="105"/>
      <c r="D725" s="105"/>
    </row>
    <row r="726" spans="2:4">
      <c r="B726" s="108"/>
      <c r="C726" s="105"/>
      <c r="D726" s="105"/>
    </row>
    <row r="727" spans="2:4">
      <c r="B727" s="108"/>
      <c r="C727" s="105"/>
      <c r="D727" s="105"/>
    </row>
    <row r="728" spans="2:4">
      <c r="B728" s="108"/>
      <c r="C728" s="105"/>
      <c r="D728" s="105"/>
    </row>
    <row r="729" spans="2:4">
      <c r="B729" s="108"/>
      <c r="C729" s="105"/>
      <c r="D729" s="105"/>
    </row>
    <row r="730" spans="2:4">
      <c r="B730" s="108"/>
      <c r="C730" s="105"/>
      <c r="D730" s="105"/>
    </row>
    <row r="731" spans="2:4">
      <c r="B731" s="108"/>
      <c r="C731" s="105"/>
      <c r="D731" s="105"/>
    </row>
    <row r="732" spans="2:4">
      <c r="B732" s="108"/>
      <c r="C732" s="105"/>
      <c r="D732" s="105"/>
    </row>
    <row r="733" spans="2:4">
      <c r="B733" s="108"/>
      <c r="C733" s="105"/>
      <c r="D733" s="105"/>
    </row>
    <row r="734" spans="2:4">
      <c r="B734" s="108"/>
      <c r="C734" s="105"/>
      <c r="D734" s="105"/>
    </row>
    <row r="735" spans="2:4">
      <c r="B735" s="108"/>
      <c r="C735" s="105"/>
      <c r="D735" s="105"/>
    </row>
    <row r="736" spans="2:4">
      <c r="B736" s="108"/>
      <c r="C736" s="105"/>
      <c r="D736" s="105"/>
    </row>
    <row r="737" spans="2:4">
      <c r="B737" s="108"/>
      <c r="C737" s="105"/>
      <c r="D737" s="105"/>
    </row>
    <row r="738" spans="2:4">
      <c r="B738" s="108"/>
      <c r="C738" s="105"/>
      <c r="D738" s="105"/>
    </row>
    <row r="739" spans="2:4">
      <c r="B739" s="108"/>
      <c r="C739" s="105"/>
      <c r="D739" s="105"/>
    </row>
    <row r="740" spans="2:4">
      <c r="B740" s="108"/>
      <c r="C740" s="105"/>
      <c r="D740" s="105"/>
    </row>
    <row r="741" spans="2:4">
      <c r="B741" s="108"/>
      <c r="C741" s="105"/>
      <c r="D741" s="105"/>
    </row>
    <row r="742" spans="2:4">
      <c r="B742" s="108"/>
      <c r="C742" s="105"/>
      <c r="D742" s="105"/>
    </row>
    <row r="743" spans="2:4">
      <c r="B743" s="108"/>
      <c r="C743" s="105"/>
      <c r="D743" s="105"/>
    </row>
    <row r="744" spans="2:4">
      <c r="B744" s="108"/>
      <c r="C744" s="105"/>
      <c r="D744" s="105"/>
    </row>
    <row r="745" spans="2:4">
      <c r="B745" s="108"/>
      <c r="C745" s="105"/>
      <c r="D745" s="105"/>
    </row>
    <row r="746" spans="2:4">
      <c r="B746" s="108"/>
      <c r="C746" s="105"/>
      <c r="D746" s="105"/>
    </row>
    <row r="747" spans="2:4">
      <c r="B747" s="108"/>
      <c r="C747" s="105"/>
      <c r="D747" s="105"/>
    </row>
    <row r="748" spans="2:4">
      <c r="B748" s="108"/>
      <c r="C748" s="105"/>
      <c r="D748" s="105"/>
    </row>
    <row r="749" spans="2:4">
      <c r="B749" s="108"/>
      <c r="C749" s="105"/>
      <c r="D749" s="105"/>
    </row>
    <row r="750" spans="2:4">
      <c r="B750" s="108"/>
      <c r="C750" s="105"/>
      <c r="D750" s="105"/>
    </row>
    <row r="751" spans="2:4">
      <c r="B751" s="108"/>
      <c r="C751" s="105"/>
      <c r="D751" s="105"/>
    </row>
    <row r="752" spans="2:4">
      <c r="B752" s="108"/>
      <c r="C752" s="105"/>
      <c r="D752" s="105"/>
    </row>
    <row r="753" spans="2:4">
      <c r="B753" s="108"/>
      <c r="C753" s="105"/>
      <c r="D753" s="105"/>
    </row>
    <row r="754" spans="2:4">
      <c r="B754" s="108"/>
      <c r="C754" s="105"/>
      <c r="D754" s="105"/>
    </row>
    <row r="755" spans="2:4">
      <c r="B755" s="108"/>
      <c r="C755" s="105"/>
      <c r="D755" s="105"/>
    </row>
    <row r="756" spans="2:4">
      <c r="B756" s="108"/>
      <c r="C756" s="105"/>
      <c r="D756" s="105"/>
    </row>
    <row r="757" spans="2:4">
      <c r="B757" s="108"/>
      <c r="C757" s="105"/>
      <c r="D757" s="105"/>
    </row>
    <row r="758" spans="2:4">
      <c r="B758" s="108"/>
      <c r="C758" s="105"/>
      <c r="D758" s="105"/>
    </row>
    <row r="759" spans="2:4">
      <c r="B759" s="108"/>
      <c r="C759" s="105"/>
      <c r="D759" s="105"/>
    </row>
    <row r="760" spans="2:4">
      <c r="B760" s="108"/>
      <c r="C760" s="105"/>
      <c r="D760" s="105"/>
    </row>
    <row r="761" spans="2:4">
      <c r="B761" s="108"/>
      <c r="C761" s="105"/>
      <c r="D761" s="105"/>
    </row>
    <row r="762" spans="2:4">
      <c r="B762" s="108"/>
      <c r="C762" s="105"/>
      <c r="D762" s="105"/>
    </row>
    <row r="763" spans="2:4">
      <c r="B763" s="108"/>
      <c r="C763" s="105"/>
      <c r="D763" s="105"/>
    </row>
    <row r="764" spans="2:4">
      <c r="B764" s="108"/>
      <c r="C764" s="105"/>
      <c r="D764" s="105"/>
    </row>
    <row r="765" spans="2:4">
      <c r="B765" s="108"/>
      <c r="C765" s="105"/>
      <c r="D765" s="105"/>
    </row>
    <row r="766" spans="2:4">
      <c r="B766" s="108"/>
      <c r="C766" s="105"/>
      <c r="D766" s="105"/>
    </row>
    <row r="767" spans="2:4">
      <c r="B767" s="108"/>
      <c r="C767" s="105"/>
      <c r="D767" s="105"/>
    </row>
    <row r="768" spans="2:4">
      <c r="B768" s="108"/>
      <c r="C768" s="105"/>
      <c r="D768" s="105"/>
    </row>
    <row r="769" spans="2:4">
      <c r="B769" s="108"/>
      <c r="C769" s="105"/>
      <c r="D769" s="105"/>
    </row>
    <row r="770" spans="2:4">
      <c r="B770" s="108"/>
      <c r="C770" s="105"/>
      <c r="D770" s="105"/>
    </row>
    <row r="771" spans="2:4">
      <c r="B771" s="108"/>
      <c r="C771" s="105"/>
      <c r="D771" s="105"/>
    </row>
    <row r="772" spans="2:4">
      <c r="B772" s="108"/>
      <c r="C772" s="105"/>
      <c r="D772" s="105"/>
    </row>
    <row r="773" spans="2:4">
      <c r="B773" s="108"/>
      <c r="C773" s="105"/>
      <c r="D773" s="105"/>
    </row>
    <row r="774" spans="2:4">
      <c r="B774" s="108"/>
      <c r="C774" s="105"/>
      <c r="D774" s="105"/>
    </row>
    <row r="775" spans="2:4">
      <c r="B775" s="108"/>
      <c r="C775" s="105"/>
      <c r="D775" s="105"/>
    </row>
    <row r="776" spans="2:4">
      <c r="B776" s="108"/>
      <c r="C776" s="105"/>
      <c r="D776" s="105"/>
    </row>
    <row r="777" spans="2:4">
      <c r="B777" s="108"/>
      <c r="C777" s="105"/>
      <c r="D777" s="105"/>
    </row>
    <row r="778" spans="2:4">
      <c r="B778" s="108"/>
      <c r="C778" s="105"/>
      <c r="D778" s="105"/>
    </row>
    <row r="779" spans="2:4">
      <c r="B779" s="108"/>
      <c r="C779" s="105"/>
      <c r="D779" s="105"/>
    </row>
    <row r="780" spans="2:4">
      <c r="B780" s="108"/>
      <c r="C780" s="105"/>
      <c r="D780" s="105"/>
    </row>
    <row r="781" spans="2:4">
      <c r="B781" s="108"/>
      <c r="C781" s="105"/>
      <c r="D781" s="105"/>
    </row>
    <row r="782" spans="2:4">
      <c r="B782" s="108"/>
      <c r="C782" s="105"/>
      <c r="D782" s="105"/>
    </row>
    <row r="783" spans="2:4">
      <c r="B783" s="108"/>
      <c r="C783" s="105"/>
      <c r="D783" s="105"/>
    </row>
    <row r="784" spans="2:4">
      <c r="B784" s="108"/>
      <c r="C784" s="105"/>
      <c r="D784" s="105"/>
    </row>
    <row r="785" spans="2:4">
      <c r="B785" s="108"/>
      <c r="C785" s="105"/>
      <c r="D785" s="105"/>
    </row>
    <row r="786" spans="2:4">
      <c r="B786" s="108"/>
      <c r="C786" s="105"/>
      <c r="D786" s="105"/>
    </row>
    <row r="787" spans="2:4">
      <c r="B787" s="108"/>
      <c r="C787" s="105"/>
      <c r="D787" s="105"/>
    </row>
    <row r="788" spans="2:4">
      <c r="B788" s="108"/>
      <c r="C788" s="105"/>
      <c r="D788" s="105"/>
    </row>
    <row r="789" spans="2:4">
      <c r="B789" s="108"/>
      <c r="C789" s="105"/>
      <c r="D789" s="105"/>
    </row>
    <row r="790" spans="2:4">
      <c r="B790" s="108"/>
      <c r="C790" s="105"/>
      <c r="D790" s="105"/>
    </row>
    <row r="791" spans="2:4">
      <c r="B791" s="108"/>
      <c r="C791" s="105"/>
      <c r="D791" s="105"/>
    </row>
    <row r="792" spans="2:4">
      <c r="B792" s="108"/>
      <c r="C792" s="105"/>
      <c r="D792" s="105"/>
    </row>
    <row r="793" spans="2:4">
      <c r="B793" s="108"/>
      <c r="C793" s="105"/>
      <c r="D793" s="105"/>
    </row>
    <row r="794" spans="2:4">
      <c r="B794" s="108"/>
      <c r="C794" s="105"/>
      <c r="D794" s="105"/>
    </row>
    <row r="795" spans="2:4">
      <c r="B795" s="108"/>
      <c r="C795" s="105"/>
      <c r="D795" s="105"/>
    </row>
    <row r="796" spans="2:4">
      <c r="B796" s="108"/>
      <c r="C796" s="105"/>
      <c r="D796" s="105"/>
    </row>
    <row r="797" spans="2:4">
      <c r="B797" s="108"/>
      <c r="C797" s="105"/>
      <c r="D797" s="105"/>
    </row>
    <row r="798" spans="2:4">
      <c r="B798" s="108"/>
      <c r="C798" s="105"/>
      <c r="D798" s="105"/>
    </row>
    <row r="799" spans="2:4">
      <c r="B799" s="108"/>
      <c r="C799" s="105"/>
      <c r="D799" s="105"/>
    </row>
    <row r="800" spans="2:4">
      <c r="B800" s="108"/>
      <c r="C800" s="105"/>
      <c r="D800" s="105"/>
    </row>
    <row r="801" spans="2:4">
      <c r="B801" s="108"/>
      <c r="C801" s="105"/>
      <c r="D801" s="105"/>
    </row>
    <row r="802" spans="2:4">
      <c r="B802" s="108"/>
      <c r="C802" s="105"/>
      <c r="D802" s="105"/>
    </row>
    <row r="803" spans="2:4">
      <c r="B803" s="108"/>
      <c r="C803" s="105"/>
      <c r="D803" s="105"/>
    </row>
    <row r="804" spans="2:4">
      <c r="B804" s="108"/>
      <c r="C804" s="105"/>
      <c r="D804" s="105"/>
    </row>
    <row r="805" spans="2:4">
      <c r="B805" s="108"/>
      <c r="C805" s="105"/>
      <c r="D805" s="105"/>
    </row>
    <row r="806" spans="2:4">
      <c r="B806" s="108"/>
      <c r="C806" s="105"/>
      <c r="D806" s="105"/>
    </row>
    <row r="807" spans="2:4">
      <c r="B807" s="108"/>
      <c r="C807" s="105"/>
      <c r="D807" s="105"/>
    </row>
    <row r="808" spans="2:4">
      <c r="B808" s="108"/>
      <c r="C808" s="105"/>
      <c r="D808" s="105"/>
    </row>
    <row r="809" spans="2:4">
      <c r="B809" s="108"/>
      <c r="C809" s="105"/>
      <c r="D809" s="105"/>
    </row>
    <row r="810" spans="2:4">
      <c r="B810" s="108"/>
      <c r="C810" s="105"/>
      <c r="D810" s="105"/>
    </row>
    <row r="811" spans="2:4">
      <c r="B811" s="108"/>
      <c r="C811" s="105"/>
      <c r="D811" s="105"/>
    </row>
    <row r="812" spans="2:4">
      <c r="B812" s="108"/>
      <c r="C812" s="105"/>
      <c r="D812" s="105"/>
    </row>
    <row r="813" spans="2:4">
      <c r="B813" s="108"/>
      <c r="C813" s="105"/>
      <c r="D813" s="105"/>
    </row>
    <row r="814" spans="2:4">
      <c r="B814" s="108"/>
      <c r="C814" s="105"/>
      <c r="D814" s="105"/>
    </row>
    <row r="815" spans="2:4">
      <c r="B815" s="108"/>
      <c r="C815" s="105"/>
      <c r="D815" s="105"/>
    </row>
    <row r="816" spans="2:4">
      <c r="B816" s="108"/>
      <c r="C816" s="105"/>
      <c r="D816" s="105"/>
    </row>
    <row r="817" spans="2:4">
      <c r="B817" s="108"/>
      <c r="C817" s="105"/>
      <c r="D817" s="105"/>
    </row>
    <row r="818" spans="2:4">
      <c r="B818" s="108"/>
      <c r="C818" s="105"/>
      <c r="D818" s="105"/>
    </row>
    <row r="819" spans="2:4">
      <c r="B819" s="108"/>
      <c r="C819" s="105"/>
      <c r="D819" s="105"/>
    </row>
    <row r="820" spans="2:4">
      <c r="B820" s="108"/>
      <c r="C820" s="105"/>
      <c r="D820" s="105"/>
    </row>
    <row r="821" spans="2:4">
      <c r="B821" s="108"/>
      <c r="C821" s="105"/>
      <c r="D821" s="105"/>
    </row>
    <row r="822" spans="2:4">
      <c r="B822" s="108"/>
      <c r="C822" s="105"/>
      <c r="D822" s="105"/>
    </row>
    <row r="823" spans="2:4">
      <c r="B823" s="108"/>
      <c r="C823" s="105"/>
      <c r="D823" s="105"/>
    </row>
    <row r="824" spans="2:4">
      <c r="B824" s="108"/>
      <c r="C824" s="105"/>
      <c r="D824" s="105"/>
    </row>
    <row r="825" spans="2:4">
      <c r="B825" s="108"/>
      <c r="C825" s="105"/>
      <c r="D825" s="105"/>
    </row>
    <row r="826" spans="2:4">
      <c r="B826" s="108"/>
      <c r="C826" s="105"/>
      <c r="D826" s="105"/>
    </row>
    <row r="827" spans="2:4">
      <c r="B827" s="108"/>
      <c r="C827" s="105"/>
      <c r="D827" s="105"/>
    </row>
    <row r="828" spans="2:4">
      <c r="B828" s="108"/>
      <c r="C828" s="105"/>
      <c r="D828" s="105"/>
    </row>
    <row r="829" spans="2:4">
      <c r="B829" s="108"/>
      <c r="C829" s="105"/>
      <c r="D829" s="105"/>
    </row>
    <row r="830" spans="2:4">
      <c r="B830" s="108"/>
      <c r="C830" s="105"/>
      <c r="D830" s="105"/>
    </row>
    <row r="831" spans="2:4">
      <c r="B831" s="108"/>
      <c r="C831" s="105"/>
      <c r="D831" s="105"/>
    </row>
    <row r="832" spans="2:4">
      <c r="B832" s="108"/>
      <c r="C832" s="105"/>
      <c r="D832" s="105"/>
    </row>
    <row r="833" spans="2:4">
      <c r="B833" s="108"/>
      <c r="C833" s="105"/>
      <c r="D833" s="105"/>
    </row>
    <row r="834" spans="2:4">
      <c r="B834" s="108"/>
      <c r="C834" s="105"/>
      <c r="D834" s="105"/>
    </row>
    <row r="835" spans="2:4">
      <c r="B835" s="108"/>
      <c r="C835" s="105"/>
      <c r="D835" s="105"/>
    </row>
    <row r="836" spans="2:4">
      <c r="B836" s="108"/>
      <c r="C836" s="105"/>
      <c r="D836" s="105"/>
    </row>
    <row r="837" spans="2:4">
      <c r="B837" s="108"/>
      <c r="C837" s="105"/>
      <c r="D837" s="105"/>
    </row>
    <row r="838" spans="2:4">
      <c r="B838" s="108"/>
      <c r="C838" s="105"/>
      <c r="D838" s="105"/>
    </row>
    <row r="839" spans="2:4">
      <c r="B839" s="108"/>
      <c r="C839" s="105"/>
      <c r="D839" s="105"/>
    </row>
    <row r="840" spans="2:4">
      <c r="B840" s="108"/>
      <c r="C840" s="105"/>
      <c r="D840" s="105"/>
    </row>
    <row r="841" spans="2:4">
      <c r="B841" s="108"/>
      <c r="C841" s="105"/>
      <c r="D841" s="105"/>
    </row>
    <row r="842" spans="2:4">
      <c r="B842" s="108"/>
      <c r="C842" s="105"/>
      <c r="D842" s="105"/>
    </row>
    <row r="843" spans="2:4">
      <c r="B843" s="108"/>
      <c r="C843" s="105"/>
      <c r="D843" s="105"/>
    </row>
    <row r="844" spans="2:4">
      <c r="B844" s="108"/>
      <c r="C844" s="105"/>
      <c r="D844" s="105"/>
    </row>
    <row r="845" spans="2:4">
      <c r="B845" s="108"/>
      <c r="C845" s="105"/>
      <c r="D845" s="105"/>
    </row>
    <row r="846" spans="2:4">
      <c r="B846" s="108"/>
      <c r="C846" s="105"/>
      <c r="D846" s="105"/>
    </row>
    <row r="847" spans="2:4">
      <c r="B847" s="108"/>
      <c r="C847" s="105"/>
      <c r="D847" s="105"/>
    </row>
    <row r="848" spans="2:4">
      <c r="B848" s="108"/>
      <c r="C848" s="105"/>
      <c r="D848" s="105"/>
    </row>
    <row r="849" spans="2:4">
      <c r="B849" s="108"/>
      <c r="C849" s="105"/>
      <c r="D849" s="105"/>
    </row>
    <row r="850" spans="2:4">
      <c r="B850" s="108"/>
      <c r="C850" s="105"/>
      <c r="D850" s="105"/>
    </row>
    <row r="851" spans="2:4">
      <c r="B851" s="108"/>
      <c r="C851" s="105"/>
      <c r="D851" s="105"/>
    </row>
    <row r="852" spans="2:4">
      <c r="B852" s="108"/>
      <c r="C852" s="105"/>
      <c r="D852" s="105"/>
    </row>
    <row r="853" spans="2:4">
      <c r="B853" s="108"/>
      <c r="C853" s="105"/>
      <c r="D853" s="105"/>
    </row>
    <row r="854" spans="2:4">
      <c r="B854" s="108"/>
      <c r="C854" s="105"/>
      <c r="D854" s="105"/>
    </row>
    <row r="855" spans="2:4">
      <c r="B855" s="108"/>
      <c r="C855" s="105"/>
      <c r="D855" s="105"/>
    </row>
    <row r="856" spans="2:4">
      <c r="B856" s="108"/>
      <c r="C856" s="105"/>
      <c r="D856" s="105"/>
    </row>
    <row r="857" spans="2:4">
      <c r="B857" s="108"/>
      <c r="C857" s="105"/>
      <c r="D857" s="105"/>
    </row>
    <row r="858" spans="2:4">
      <c r="B858" s="108"/>
      <c r="C858" s="105"/>
      <c r="D858" s="105"/>
    </row>
    <row r="859" spans="2:4">
      <c r="B859" s="108"/>
      <c r="C859" s="105"/>
      <c r="D859" s="105"/>
    </row>
    <row r="860" spans="2:4">
      <c r="B860" s="108"/>
      <c r="C860" s="105"/>
      <c r="D860" s="105"/>
    </row>
    <row r="861" spans="2:4">
      <c r="B861" s="108"/>
      <c r="C861" s="105"/>
      <c r="D861" s="105"/>
    </row>
    <row r="862" spans="2:4">
      <c r="B862" s="108"/>
      <c r="C862" s="105"/>
      <c r="D862" s="105"/>
    </row>
    <row r="863" spans="2:4">
      <c r="B863" s="108"/>
      <c r="C863" s="105"/>
      <c r="D863" s="105"/>
    </row>
    <row r="864" spans="2:4">
      <c r="B864" s="108"/>
      <c r="C864" s="105"/>
      <c r="D864" s="105"/>
    </row>
    <row r="865" spans="2:4">
      <c r="B865" s="108"/>
      <c r="C865" s="105"/>
      <c r="D865" s="105"/>
    </row>
    <row r="866" spans="2:4">
      <c r="B866" s="108"/>
      <c r="C866" s="105"/>
      <c r="D866" s="105"/>
    </row>
    <row r="867" spans="2:4">
      <c r="B867" s="108"/>
      <c r="C867" s="105"/>
      <c r="D867" s="105"/>
    </row>
    <row r="868" spans="2:4">
      <c r="B868" s="108"/>
      <c r="C868" s="105"/>
      <c r="D868" s="105"/>
    </row>
    <row r="869" spans="2:4">
      <c r="B869" s="108"/>
      <c r="C869" s="105"/>
      <c r="D869" s="105"/>
    </row>
    <row r="870" spans="2:4">
      <c r="B870" s="108"/>
      <c r="C870" s="105"/>
      <c r="D870" s="105"/>
    </row>
    <row r="871" spans="2:4">
      <c r="B871" s="108"/>
      <c r="C871" s="105"/>
      <c r="D871" s="105"/>
    </row>
    <row r="872" spans="2:4">
      <c r="B872" s="108"/>
      <c r="C872" s="105"/>
      <c r="D872" s="105"/>
    </row>
    <row r="873" spans="2:4">
      <c r="B873" s="108"/>
      <c r="C873" s="105"/>
      <c r="D873" s="105"/>
    </row>
    <row r="874" spans="2:4">
      <c r="B874" s="108"/>
      <c r="C874" s="105"/>
      <c r="D874" s="105"/>
    </row>
    <row r="875" spans="2:4">
      <c r="B875" s="108"/>
      <c r="C875" s="105"/>
      <c r="D875" s="105"/>
    </row>
    <row r="876" spans="2:4">
      <c r="B876" s="108"/>
      <c r="C876" s="105"/>
      <c r="D876" s="105"/>
    </row>
    <row r="877" spans="2:4">
      <c r="B877" s="108"/>
      <c r="C877" s="105"/>
      <c r="D877" s="105"/>
    </row>
    <row r="878" spans="2:4">
      <c r="B878" s="108"/>
      <c r="C878" s="105"/>
      <c r="D878" s="105"/>
    </row>
    <row r="879" spans="2:4">
      <c r="B879" s="108"/>
      <c r="C879" s="105"/>
      <c r="D879" s="105"/>
    </row>
    <row r="880" spans="2:4">
      <c r="B880" s="108"/>
      <c r="C880" s="105"/>
      <c r="D880" s="105"/>
    </row>
    <row r="881" spans="2:4">
      <c r="B881" s="108"/>
      <c r="C881" s="105"/>
      <c r="D881" s="105"/>
    </row>
    <row r="882" spans="2:4">
      <c r="B882" s="108"/>
      <c r="C882" s="105"/>
      <c r="D882" s="105"/>
    </row>
    <row r="883" spans="2:4">
      <c r="B883" s="108"/>
      <c r="C883" s="105"/>
      <c r="D883" s="105"/>
    </row>
    <row r="884" spans="2:4">
      <c r="B884" s="108"/>
      <c r="C884" s="105"/>
      <c r="D884" s="105"/>
    </row>
    <row r="885" spans="2:4">
      <c r="B885" s="108"/>
      <c r="C885" s="105"/>
      <c r="D885" s="105"/>
    </row>
    <row r="886" spans="2:4">
      <c r="B886" s="108"/>
      <c r="C886" s="105"/>
      <c r="D886" s="105"/>
    </row>
    <row r="887" spans="2:4">
      <c r="B887" s="108"/>
      <c r="C887" s="105"/>
      <c r="D887" s="105"/>
    </row>
    <row r="888" spans="2:4">
      <c r="B888" s="108"/>
      <c r="C888" s="105"/>
      <c r="D888" s="105"/>
    </row>
    <row r="889" spans="2:4">
      <c r="B889" s="108"/>
      <c r="C889" s="105"/>
      <c r="D889" s="105"/>
    </row>
    <row r="890" spans="2:4">
      <c r="B890" s="108"/>
      <c r="C890" s="105"/>
      <c r="D890" s="105"/>
    </row>
    <row r="891" spans="2:4">
      <c r="B891" s="108"/>
      <c r="C891" s="105"/>
      <c r="D891" s="105"/>
    </row>
    <row r="892" spans="2:4">
      <c r="B892" s="108"/>
      <c r="C892" s="105"/>
      <c r="D892" s="105"/>
    </row>
    <row r="893" spans="2:4">
      <c r="B893" s="108"/>
      <c r="C893" s="105"/>
      <c r="D893" s="105"/>
    </row>
    <row r="894" spans="2:4">
      <c r="B894" s="108"/>
      <c r="C894" s="105"/>
      <c r="D894" s="105"/>
    </row>
    <row r="895" spans="2:4">
      <c r="B895" s="108"/>
      <c r="C895" s="105"/>
      <c r="D895" s="105"/>
    </row>
    <row r="896" spans="2:4">
      <c r="B896" s="108"/>
      <c r="C896" s="105"/>
      <c r="D896" s="105"/>
    </row>
    <row r="897" spans="2:4">
      <c r="B897" s="108"/>
      <c r="C897" s="105"/>
      <c r="D897" s="105"/>
    </row>
    <row r="898" spans="2:4">
      <c r="B898" s="108"/>
      <c r="C898" s="105"/>
      <c r="D898" s="105"/>
    </row>
    <row r="899" spans="2:4">
      <c r="B899" s="108"/>
      <c r="C899" s="105"/>
      <c r="D899" s="105"/>
    </row>
    <row r="900" spans="2:4">
      <c r="B900" s="108"/>
      <c r="C900" s="105"/>
      <c r="D900" s="105"/>
    </row>
    <row r="901" spans="2:4">
      <c r="B901" s="108"/>
      <c r="C901" s="105"/>
      <c r="D901" s="105"/>
    </row>
    <row r="902" spans="2:4">
      <c r="B902" s="108"/>
      <c r="C902" s="105"/>
      <c r="D902" s="105"/>
    </row>
    <row r="903" spans="2:4">
      <c r="B903" s="108"/>
      <c r="C903" s="105"/>
      <c r="D903" s="105"/>
    </row>
    <row r="904" spans="2:4">
      <c r="B904" s="108"/>
      <c r="C904" s="105"/>
      <c r="D904" s="105"/>
    </row>
    <row r="905" spans="2:4">
      <c r="B905" s="108"/>
      <c r="C905" s="105"/>
      <c r="D905" s="105"/>
    </row>
    <row r="906" spans="2:4">
      <c r="B906" s="108"/>
      <c r="C906" s="105"/>
      <c r="D906" s="105"/>
    </row>
    <row r="907" spans="2:4">
      <c r="B907" s="108"/>
      <c r="C907" s="105"/>
      <c r="D907" s="105"/>
    </row>
    <row r="908" spans="2:4">
      <c r="B908" s="108"/>
      <c r="C908" s="105"/>
      <c r="D908" s="105"/>
    </row>
    <row r="909" spans="2:4">
      <c r="B909" s="108"/>
      <c r="C909" s="105"/>
      <c r="D909" s="105"/>
    </row>
    <row r="910" spans="2:4">
      <c r="B910" s="108"/>
      <c r="C910" s="105"/>
      <c r="D910" s="105"/>
    </row>
    <row r="911" spans="2:4">
      <c r="B911" s="108"/>
      <c r="C911" s="105"/>
      <c r="D911" s="105"/>
    </row>
    <row r="912" spans="2:4">
      <c r="B912" s="108"/>
      <c r="C912" s="105"/>
      <c r="D912" s="105"/>
    </row>
    <row r="913" spans="2:4">
      <c r="B913" s="108"/>
      <c r="C913" s="105"/>
      <c r="D913" s="105"/>
    </row>
    <row r="914" spans="2:4">
      <c r="B914" s="108"/>
      <c r="C914" s="105"/>
      <c r="D914" s="105"/>
    </row>
    <row r="915" spans="2:4">
      <c r="B915" s="108"/>
      <c r="C915" s="105"/>
      <c r="D915" s="105"/>
    </row>
    <row r="916" spans="2:4">
      <c r="B916" s="108"/>
      <c r="C916" s="105"/>
      <c r="D916" s="105"/>
    </row>
    <row r="917" spans="2:4">
      <c r="B917" s="108"/>
      <c r="C917" s="105"/>
      <c r="D917" s="105"/>
    </row>
    <row r="918" spans="2:4">
      <c r="B918" s="108"/>
      <c r="C918" s="105"/>
      <c r="D918" s="105"/>
    </row>
    <row r="919" spans="2:4">
      <c r="B919" s="108"/>
      <c r="C919" s="105"/>
      <c r="D919" s="105"/>
    </row>
    <row r="920" spans="2:4">
      <c r="B920" s="108"/>
      <c r="C920" s="105"/>
      <c r="D920" s="105"/>
    </row>
    <row r="921" spans="2:4">
      <c r="B921" s="108"/>
      <c r="C921" s="105"/>
      <c r="D921" s="105"/>
    </row>
    <row r="922" spans="2:4">
      <c r="B922" s="108"/>
      <c r="C922" s="105"/>
      <c r="D922" s="105"/>
    </row>
    <row r="923" spans="2:4">
      <c r="B923" s="108"/>
      <c r="C923" s="105"/>
      <c r="D923" s="105"/>
    </row>
    <row r="924" spans="2:4">
      <c r="B924" s="108"/>
      <c r="C924" s="105"/>
      <c r="D924" s="105"/>
    </row>
    <row r="925" spans="2:4">
      <c r="B925" s="108"/>
      <c r="C925" s="105"/>
      <c r="D925" s="105"/>
    </row>
    <row r="926" spans="2:4">
      <c r="B926" s="108"/>
      <c r="C926" s="105"/>
      <c r="D926" s="105"/>
    </row>
    <row r="927" spans="2:4">
      <c r="B927" s="108"/>
      <c r="C927" s="105"/>
      <c r="D927" s="105"/>
    </row>
    <row r="928" spans="2:4">
      <c r="B928" s="108"/>
      <c r="C928" s="105"/>
      <c r="D928" s="105"/>
    </row>
    <row r="929" spans="2:4">
      <c r="B929" s="108"/>
      <c r="C929" s="105"/>
      <c r="D929" s="105"/>
    </row>
    <row r="930" spans="2:4">
      <c r="B930" s="108"/>
      <c r="C930" s="105"/>
      <c r="D930" s="105"/>
    </row>
    <row r="931" spans="2:4">
      <c r="B931" s="108"/>
      <c r="C931" s="105"/>
      <c r="D931" s="105"/>
    </row>
    <row r="932" spans="2:4">
      <c r="B932" s="108"/>
      <c r="C932" s="105"/>
      <c r="D932" s="105"/>
    </row>
    <row r="933" spans="2:4">
      <c r="B933" s="108"/>
      <c r="C933" s="105"/>
      <c r="D933" s="105"/>
    </row>
    <row r="934" spans="2:4">
      <c r="B934" s="108"/>
      <c r="C934" s="105"/>
      <c r="D934" s="105"/>
    </row>
    <row r="935" spans="2:4">
      <c r="B935" s="108"/>
      <c r="C935" s="105"/>
      <c r="D935" s="105"/>
    </row>
    <row r="936" spans="2:4">
      <c r="B936" s="108"/>
      <c r="C936" s="105"/>
      <c r="D936" s="105"/>
    </row>
    <row r="937" spans="2:4">
      <c r="B937" s="108"/>
      <c r="C937" s="105"/>
      <c r="D937" s="105"/>
    </row>
    <row r="938" spans="2:4">
      <c r="B938" s="108"/>
      <c r="C938" s="105"/>
      <c r="D938" s="105"/>
    </row>
    <row r="939" spans="2:4">
      <c r="B939" s="108"/>
      <c r="C939" s="105"/>
      <c r="D939" s="105"/>
    </row>
    <row r="940" spans="2:4">
      <c r="B940" s="108"/>
      <c r="C940" s="105"/>
      <c r="D940" s="105"/>
    </row>
    <row r="941" spans="2:4">
      <c r="B941" s="108"/>
      <c r="C941" s="105"/>
      <c r="D941" s="105"/>
    </row>
    <row r="942" spans="2:4">
      <c r="B942" s="108"/>
      <c r="C942" s="105"/>
      <c r="D942" s="105"/>
    </row>
    <row r="943" spans="2:4">
      <c r="B943" s="108"/>
      <c r="C943" s="105"/>
      <c r="D943" s="105"/>
    </row>
    <row r="944" spans="2:4">
      <c r="B944" s="108"/>
      <c r="C944" s="105"/>
      <c r="D944" s="105"/>
    </row>
    <row r="945" spans="2:4">
      <c r="B945" s="108"/>
      <c r="C945" s="105"/>
      <c r="D945" s="105"/>
    </row>
    <row r="946" spans="2:4">
      <c r="B946" s="108"/>
      <c r="C946" s="105"/>
      <c r="D946" s="105"/>
    </row>
    <row r="947" spans="2:4">
      <c r="B947" s="108"/>
      <c r="C947" s="105"/>
      <c r="D947" s="105"/>
    </row>
    <row r="948" spans="2:4">
      <c r="B948" s="108"/>
      <c r="C948" s="105"/>
      <c r="D948" s="105"/>
    </row>
    <row r="949" spans="2:4">
      <c r="B949" s="108"/>
      <c r="C949" s="105"/>
      <c r="D949" s="105"/>
    </row>
    <row r="950" spans="2:4">
      <c r="B950" s="108"/>
      <c r="C950" s="105"/>
      <c r="D950" s="105"/>
    </row>
    <row r="951" spans="2:4">
      <c r="B951" s="108"/>
      <c r="C951" s="105"/>
      <c r="D951" s="105"/>
    </row>
    <row r="952" spans="2:4">
      <c r="B952" s="108"/>
      <c r="C952" s="105"/>
      <c r="D952" s="105"/>
    </row>
    <row r="953" spans="2:4">
      <c r="B953" s="108"/>
      <c r="C953" s="105"/>
      <c r="D953" s="105"/>
    </row>
    <row r="954" spans="2:4">
      <c r="B954" s="108"/>
      <c r="C954" s="105"/>
      <c r="D954" s="105"/>
    </row>
    <row r="955" spans="2:4">
      <c r="B955" s="108"/>
      <c r="C955" s="105"/>
      <c r="D955" s="105"/>
    </row>
    <row r="956" spans="2:4">
      <c r="B956" s="108"/>
      <c r="C956" s="105"/>
      <c r="D956" s="105"/>
    </row>
    <row r="957" spans="2:4">
      <c r="B957" s="108"/>
      <c r="C957" s="105"/>
      <c r="D957" s="105"/>
    </row>
    <row r="958" spans="2:4">
      <c r="B958" s="108"/>
      <c r="C958" s="105"/>
      <c r="D958" s="105"/>
    </row>
    <row r="959" spans="2:4">
      <c r="B959" s="108"/>
      <c r="C959" s="105"/>
      <c r="D959" s="105"/>
    </row>
    <row r="960" spans="2:4">
      <c r="B960" s="108"/>
      <c r="C960" s="105"/>
      <c r="D960" s="105"/>
    </row>
    <row r="961" spans="2:4">
      <c r="B961" s="108"/>
      <c r="C961" s="105"/>
      <c r="D961" s="105"/>
    </row>
    <row r="962" spans="2:4">
      <c r="B962" s="108"/>
      <c r="C962" s="105"/>
      <c r="D962" s="105"/>
    </row>
    <row r="963" spans="2:4">
      <c r="B963" s="108"/>
      <c r="C963" s="105"/>
      <c r="D963" s="105"/>
    </row>
    <row r="964" spans="2:4">
      <c r="B964" s="108"/>
      <c r="C964" s="105"/>
      <c r="D964" s="105"/>
    </row>
    <row r="965" spans="2:4">
      <c r="B965" s="108"/>
      <c r="C965" s="105"/>
      <c r="D965" s="105"/>
    </row>
    <row r="966" spans="2:4">
      <c r="B966" s="108"/>
      <c r="C966" s="105"/>
      <c r="D966" s="105"/>
    </row>
    <row r="967" spans="2:4">
      <c r="B967" s="108"/>
      <c r="C967" s="105"/>
      <c r="D967" s="105"/>
    </row>
    <row r="968" spans="2:4">
      <c r="B968" s="108"/>
      <c r="C968" s="105"/>
      <c r="D968" s="105"/>
    </row>
    <row r="969" spans="2:4">
      <c r="B969" s="108"/>
      <c r="C969" s="105"/>
      <c r="D969" s="105"/>
    </row>
    <row r="970" spans="2:4">
      <c r="B970" s="108"/>
      <c r="C970" s="105"/>
      <c r="D970" s="105"/>
    </row>
    <row r="971" spans="2:4">
      <c r="B971" s="108"/>
      <c r="C971" s="105"/>
      <c r="D971" s="105"/>
    </row>
    <row r="972" spans="2:4">
      <c r="B972" s="108"/>
      <c r="C972" s="105"/>
      <c r="D972" s="105"/>
    </row>
    <row r="973" spans="2:4">
      <c r="B973" s="108"/>
      <c r="C973" s="105"/>
      <c r="D973" s="105"/>
    </row>
    <row r="974" spans="2:4">
      <c r="B974" s="108"/>
      <c r="C974" s="105"/>
      <c r="D974" s="105"/>
    </row>
    <row r="975" spans="2:4">
      <c r="B975" s="108"/>
      <c r="C975" s="105"/>
      <c r="D975" s="105"/>
    </row>
    <row r="976" spans="2:4">
      <c r="B976" s="108"/>
      <c r="C976" s="105"/>
      <c r="D976" s="105"/>
    </row>
    <row r="977" spans="2:4">
      <c r="B977" s="108"/>
      <c r="C977" s="105"/>
      <c r="D977" s="105"/>
    </row>
    <row r="978" spans="2:4">
      <c r="B978" s="108"/>
      <c r="C978" s="105"/>
      <c r="D978" s="105"/>
    </row>
    <row r="979" spans="2:4">
      <c r="B979" s="108"/>
      <c r="C979" s="105"/>
      <c r="D979" s="105"/>
    </row>
    <row r="980" spans="2:4">
      <c r="B980" s="108"/>
      <c r="C980" s="105"/>
      <c r="D980" s="105"/>
    </row>
    <row r="981" spans="2:4">
      <c r="B981" s="108"/>
      <c r="C981" s="105"/>
      <c r="D981" s="105"/>
    </row>
    <row r="982" spans="2:4">
      <c r="B982" s="108"/>
      <c r="C982" s="105"/>
      <c r="D982" s="105"/>
    </row>
    <row r="983" spans="2:4">
      <c r="B983" s="108"/>
      <c r="C983" s="105"/>
      <c r="D983" s="105"/>
    </row>
    <row r="984" spans="2:4">
      <c r="B984" s="108"/>
      <c r="C984" s="105"/>
      <c r="D984" s="105"/>
    </row>
    <row r="985" spans="2:4">
      <c r="B985" s="108"/>
      <c r="C985" s="105"/>
      <c r="D985" s="105"/>
    </row>
    <row r="986" spans="2:4">
      <c r="B986" s="108"/>
      <c r="C986" s="105"/>
      <c r="D986" s="105"/>
    </row>
    <row r="987" spans="2:4">
      <c r="B987" s="108"/>
      <c r="C987" s="105"/>
      <c r="D987" s="105"/>
    </row>
    <row r="988" spans="2:4">
      <c r="B988" s="108"/>
      <c r="C988" s="105"/>
      <c r="D988" s="105"/>
    </row>
    <row r="989" spans="2:4">
      <c r="B989" s="108"/>
      <c r="C989" s="105"/>
      <c r="D989" s="105"/>
    </row>
    <row r="990" spans="2:4">
      <c r="B990" s="108"/>
      <c r="C990" s="105"/>
      <c r="D990" s="105"/>
    </row>
    <row r="991" spans="2:4">
      <c r="B991" s="108"/>
      <c r="C991" s="105"/>
      <c r="D991" s="105"/>
    </row>
    <row r="992" spans="2:4">
      <c r="B992" s="108"/>
      <c r="C992" s="105"/>
      <c r="D992" s="105"/>
    </row>
    <row r="993" spans="2:4">
      <c r="B993" s="108"/>
      <c r="C993" s="105"/>
      <c r="D993" s="105"/>
    </row>
    <row r="994" spans="2:4">
      <c r="B994" s="108"/>
      <c r="C994" s="105"/>
      <c r="D994" s="105"/>
    </row>
    <row r="995" spans="2:4">
      <c r="B995" s="108"/>
      <c r="C995" s="105"/>
      <c r="D995" s="105"/>
    </row>
    <row r="996" spans="2:4">
      <c r="B996" s="108"/>
      <c r="C996" s="105"/>
      <c r="D996" s="105"/>
    </row>
    <row r="997" spans="2:4">
      <c r="B997" s="108"/>
      <c r="C997" s="105"/>
      <c r="D997" s="105"/>
    </row>
    <row r="998" spans="2:4">
      <c r="B998" s="108"/>
      <c r="C998" s="105"/>
      <c r="D998" s="105"/>
    </row>
    <row r="999" spans="2:4">
      <c r="B999" s="108"/>
      <c r="C999" s="105"/>
      <c r="D999" s="105"/>
    </row>
    <row r="1000" spans="2:4">
      <c r="B1000" s="108"/>
      <c r="C1000" s="105"/>
      <c r="D1000" s="105"/>
    </row>
    <row r="1001" spans="2:4">
      <c r="B1001" s="108"/>
      <c r="C1001" s="105"/>
      <c r="D1001" s="105"/>
    </row>
    <row r="1002" spans="2:4">
      <c r="B1002" s="108"/>
      <c r="C1002" s="105"/>
      <c r="D1002" s="105"/>
    </row>
    <row r="1003" spans="2:4">
      <c r="B1003" s="108"/>
      <c r="C1003" s="105"/>
      <c r="D1003" s="105"/>
    </row>
    <row r="1004" spans="2:4">
      <c r="B1004" s="108"/>
      <c r="C1004" s="105"/>
      <c r="D1004" s="105"/>
    </row>
    <row r="1005" spans="2:4">
      <c r="B1005" s="108"/>
      <c r="C1005" s="105"/>
      <c r="D1005" s="105"/>
    </row>
    <row r="1006" spans="2:4">
      <c r="B1006" s="108"/>
      <c r="C1006" s="105"/>
      <c r="D1006" s="105"/>
    </row>
    <row r="1007" spans="2:4">
      <c r="B1007" s="108"/>
      <c r="C1007" s="105"/>
      <c r="D1007" s="105"/>
    </row>
    <row r="1008" spans="2:4">
      <c r="B1008" s="108"/>
      <c r="C1008" s="105"/>
      <c r="D1008" s="105"/>
    </row>
    <row r="1009" spans="2:4">
      <c r="B1009" s="108"/>
      <c r="C1009" s="105"/>
      <c r="D1009" s="105"/>
    </row>
    <row r="1010" spans="2:4">
      <c r="B1010" s="108"/>
      <c r="C1010" s="105"/>
      <c r="D1010" s="105"/>
    </row>
    <row r="1011" spans="2:4">
      <c r="B1011" s="108"/>
      <c r="C1011" s="105"/>
      <c r="D1011" s="105"/>
    </row>
    <row r="1012" spans="2:4">
      <c r="B1012" s="108"/>
      <c r="C1012" s="105"/>
      <c r="D1012" s="105"/>
    </row>
    <row r="1013" spans="2:4">
      <c r="B1013" s="108"/>
      <c r="C1013" s="105"/>
      <c r="D1013" s="105"/>
    </row>
    <row r="1014" spans="2:4">
      <c r="B1014" s="108"/>
      <c r="C1014" s="105"/>
      <c r="D1014" s="105"/>
    </row>
    <row r="1015" spans="2:4">
      <c r="B1015" s="108"/>
      <c r="C1015" s="105"/>
      <c r="D1015" s="105"/>
    </row>
    <row r="1016" spans="2:4">
      <c r="B1016" s="108"/>
      <c r="C1016" s="105"/>
      <c r="D1016" s="105"/>
    </row>
    <row r="1017" spans="2:4">
      <c r="B1017" s="108"/>
      <c r="C1017" s="105"/>
      <c r="D1017" s="105"/>
    </row>
    <row r="1018" spans="2:4">
      <c r="B1018" s="108"/>
      <c r="C1018" s="105"/>
      <c r="D1018" s="105"/>
    </row>
    <row r="1019" spans="2:4">
      <c r="B1019" s="108"/>
      <c r="C1019" s="105"/>
      <c r="D1019" s="105"/>
    </row>
    <row r="1020" spans="2:4">
      <c r="B1020" s="108"/>
      <c r="C1020" s="105"/>
      <c r="D1020" s="105"/>
    </row>
    <row r="1021" spans="2:4">
      <c r="B1021" s="108"/>
      <c r="C1021" s="105"/>
      <c r="D1021" s="105"/>
    </row>
    <row r="1022" spans="2:4">
      <c r="B1022" s="108"/>
      <c r="C1022" s="105"/>
      <c r="D1022" s="105"/>
    </row>
    <row r="1023" spans="2:4">
      <c r="B1023" s="108"/>
      <c r="C1023" s="105"/>
      <c r="D1023" s="105"/>
    </row>
    <row r="1024" spans="2:4">
      <c r="B1024" s="108"/>
      <c r="C1024" s="105"/>
      <c r="D1024" s="105"/>
    </row>
    <row r="1025" spans="2:4">
      <c r="B1025" s="108"/>
      <c r="C1025" s="105"/>
      <c r="D1025" s="105"/>
    </row>
    <row r="1026" spans="2:4">
      <c r="B1026" s="108"/>
      <c r="C1026" s="105"/>
      <c r="D1026" s="105"/>
    </row>
    <row r="1027" spans="2:4">
      <c r="B1027" s="108"/>
      <c r="C1027" s="105"/>
      <c r="D1027" s="105"/>
    </row>
    <row r="1028" spans="2:4">
      <c r="B1028" s="108"/>
      <c r="C1028" s="105"/>
      <c r="D1028" s="105"/>
    </row>
    <row r="1029" spans="2:4">
      <c r="B1029" s="108"/>
      <c r="C1029" s="105"/>
      <c r="D1029" s="105"/>
    </row>
    <row r="1030" spans="2:4">
      <c r="B1030" s="108"/>
      <c r="C1030" s="105"/>
      <c r="D1030" s="105"/>
    </row>
    <row r="1031" spans="2:4">
      <c r="B1031" s="108"/>
      <c r="C1031" s="105"/>
      <c r="D1031" s="105"/>
    </row>
    <row r="1032" spans="2:4">
      <c r="B1032" s="108"/>
      <c r="C1032" s="105"/>
      <c r="D1032" s="105"/>
    </row>
    <row r="1033" spans="2:4">
      <c r="B1033" s="108"/>
      <c r="C1033" s="105"/>
      <c r="D1033" s="105"/>
    </row>
    <row r="1034" spans="2:4">
      <c r="B1034" s="108"/>
      <c r="C1034" s="105"/>
      <c r="D1034" s="105"/>
    </row>
    <row r="1035" spans="2:4">
      <c r="B1035" s="108"/>
      <c r="C1035" s="105"/>
      <c r="D1035" s="105"/>
    </row>
    <row r="1036" spans="2:4">
      <c r="B1036" s="108"/>
      <c r="C1036" s="105"/>
      <c r="D1036" s="105"/>
    </row>
    <row r="1037" spans="2:4">
      <c r="B1037" s="108"/>
      <c r="C1037" s="105"/>
      <c r="D1037" s="105"/>
    </row>
    <row r="1038" spans="2:4">
      <c r="B1038" s="108"/>
      <c r="C1038" s="105"/>
      <c r="D1038" s="105"/>
    </row>
    <row r="1039" spans="2:4">
      <c r="B1039" s="108"/>
      <c r="C1039" s="105"/>
      <c r="D1039" s="105"/>
    </row>
    <row r="1040" spans="2:4">
      <c r="B1040" s="108"/>
      <c r="C1040" s="105"/>
      <c r="D1040" s="105"/>
    </row>
    <row r="1041" spans="2:4">
      <c r="B1041" s="108"/>
      <c r="C1041" s="105"/>
      <c r="D1041" s="105"/>
    </row>
    <row r="1042" spans="2:4">
      <c r="B1042" s="108"/>
      <c r="C1042" s="105"/>
      <c r="D1042" s="105"/>
    </row>
    <row r="1043" spans="2:4">
      <c r="B1043" s="108"/>
      <c r="C1043" s="105"/>
      <c r="D1043" s="105"/>
    </row>
    <row r="1044" spans="2:4">
      <c r="B1044" s="108"/>
      <c r="C1044" s="105"/>
      <c r="D1044" s="105"/>
    </row>
    <row r="1045" spans="2:4">
      <c r="B1045" s="108"/>
      <c r="C1045" s="105"/>
      <c r="D1045" s="105"/>
    </row>
    <row r="1046" spans="2:4">
      <c r="B1046" s="108"/>
      <c r="C1046" s="105"/>
      <c r="D1046" s="105"/>
    </row>
    <row r="1047" spans="2:4">
      <c r="B1047" s="108"/>
      <c r="C1047" s="105"/>
      <c r="D1047" s="105"/>
    </row>
    <row r="1048" spans="2:4">
      <c r="B1048" s="108"/>
      <c r="C1048" s="105"/>
      <c r="D1048" s="105"/>
    </row>
    <row r="1049" spans="2:4">
      <c r="B1049" s="108"/>
      <c r="C1049" s="105"/>
      <c r="D1049" s="105"/>
    </row>
    <row r="1050" spans="2:4">
      <c r="B1050" s="108"/>
      <c r="C1050" s="105"/>
      <c r="D1050" s="105"/>
    </row>
    <row r="1051" spans="2:4">
      <c r="B1051" s="108"/>
      <c r="C1051" s="105"/>
      <c r="D1051" s="105"/>
    </row>
    <row r="1052" spans="2:4">
      <c r="B1052" s="108"/>
      <c r="C1052" s="105"/>
      <c r="D1052" s="105"/>
    </row>
    <row r="1053" spans="2:4">
      <c r="B1053" s="108"/>
      <c r="C1053" s="105"/>
      <c r="D1053" s="105"/>
    </row>
    <row r="1054" spans="2:4">
      <c r="B1054" s="108"/>
      <c r="C1054" s="105"/>
      <c r="D1054" s="105"/>
    </row>
    <row r="1055" spans="2:4">
      <c r="B1055" s="108"/>
      <c r="C1055" s="105"/>
      <c r="D1055" s="105"/>
    </row>
    <row r="1056" spans="2:4">
      <c r="B1056" s="108"/>
      <c r="C1056" s="105"/>
      <c r="D1056" s="105"/>
    </row>
    <row r="1057" spans="2:4">
      <c r="B1057" s="108"/>
      <c r="C1057" s="105"/>
      <c r="D1057" s="105"/>
    </row>
    <row r="1058" spans="2:4">
      <c r="B1058" s="108"/>
      <c r="C1058" s="105"/>
      <c r="D1058" s="105"/>
    </row>
    <row r="1059" spans="2:4">
      <c r="B1059" s="108"/>
      <c r="C1059" s="105"/>
      <c r="D1059" s="105"/>
    </row>
    <row r="1060" spans="2:4">
      <c r="B1060" s="108"/>
      <c r="C1060" s="105"/>
      <c r="D1060" s="105"/>
    </row>
    <row r="1061" spans="2:4">
      <c r="B1061" s="108"/>
      <c r="C1061" s="105"/>
      <c r="D1061" s="105"/>
    </row>
    <row r="1062" spans="2:4">
      <c r="B1062" s="108"/>
      <c r="C1062" s="105"/>
      <c r="D1062" s="105"/>
    </row>
    <row r="1063" spans="2:4">
      <c r="B1063" s="108"/>
      <c r="C1063" s="105"/>
      <c r="D1063" s="105"/>
    </row>
    <row r="1064" spans="2:4">
      <c r="B1064" s="108"/>
      <c r="C1064" s="105"/>
      <c r="D1064" s="105"/>
    </row>
    <row r="1065" spans="2:4">
      <c r="B1065" s="108"/>
      <c r="C1065" s="105"/>
      <c r="D1065" s="105"/>
    </row>
    <row r="1066" spans="2:4">
      <c r="B1066" s="108"/>
      <c r="C1066" s="105"/>
      <c r="D1066" s="105"/>
    </row>
    <row r="1067" spans="2:4">
      <c r="B1067" s="108"/>
      <c r="C1067" s="105"/>
      <c r="D1067" s="105"/>
    </row>
    <row r="1068" spans="2:4">
      <c r="B1068" s="108"/>
      <c r="C1068" s="105"/>
      <c r="D1068" s="105"/>
    </row>
    <row r="1069" spans="2:4">
      <c r="B1069" s="108"/>
      <c r="C1069" s="105"/>
      <c r="D1069" s="105"/>
    </row>
    <row r="1070" spans="2:4">
      <c r="B1070" s="108"/>
      <c r="C1070" s="105"/>
      <c r="D1070" s="105"/>
    </row>
    <row r="1071" spans="2:4">
      <c r="B1071" s="108"/>
      <c r="C1071" s="105"/>
      <c r="D1071" s="105"/>
    </row>
    <row r="1072" spans="2:4">
      <c r="B1072" s="108"/>
      <c r="C1072" s="105"/>
      <c r="D1072" s="105"/>
    </row>
    <row r="1073" spans="2:4">
      <c r="B1073" s="108"/>
      <c r="C1073" s="105"/>
      <c r="D1073" s="105"/>
    </row>
    <row r="1074" spans="2:4">
      <c r="B1074" s="108"/>
      <c r="C1074" s="105"/>
      <c r="D1074" s="105"/>
    </row>
    <row r="1075" spans="2:4">
      <c r="B1075" s="108"/>
      <c r="C1075" s="105"/>
      <c r="D1075" s="105"/>
    </row>
    <row r="1076" spans="2:4">
      <c r="B1076" s="108"/>
      <c r="C1076" s="105"/>
      <c r="D1076" s="105"/>
    </row>
    <row r="1077" spans="2:4">
      <c r="B1077" s="108"/>
      <c r="C1077" s="105"/>
      <c r="D1077" s="105"/>
    </row>
    <row r="1078" spans="2:4">
      <c r="B1078" s="108"/>
      <c r="C1078" s="105"/>
      <c r="D1078" s="105"/>
    </row>
    <row r="1079" spans="2:4">
      <c r="B1079" s="108"/>
      <c r="C1079" s="105"/>
      <c r="D1079" s="105"/>
    </row>
    <row r="1080" spans="2:4">
      <c r="B1080" s="108"/>
      <c r="C1080" s="105"/>
      <c r="D1080" s="105"/>
    </row>
    <row r="1081" spans="2:4">
      <c r="B1081" s="108"/>
      <c r="C1081" s="105"/>
      <c r="D1081" s="105"/>
    </row>
    <row r="1082" spans="2:4">
      <c r="B1082" s="108"/>
      <c r="C1082" s="105"/>
      <c r="D1082" s="105"/>
    </row>
    <row r="1083" spans="2:4">
      <c r="B1083" s="108"/>
      <c r="C1083" s="105"/>
      <c r="D1083" s="105"/>
    </row>
    <row r="1084" spans="2:4">
      <c r="B1084" s="108"/>
      <c r="C1084" s="105"/>
      <c r="D1084" s="105"/>
    </row>
    <row r="1085" spans="2:4">
      <c r="B1085" s="108"/>
      <c r="C1085" s="105"/>
      <c r="D1085" s="105"/>
    </row>
    <row r="1086" spans="2:4">
      <c r="B1086" s="108"/>
      <c r="C1086" s="105"/>
      <c r="D1086" s="105"/>
    </row>
    <row r="1087" spans="2:4">
      <c r="B1087" s="108"/>
      <c r="C1087" s="105"/>
      <c r="D1087" s="105"/>
    </row>
    <row r="1088" spans="2:4">
      <c r="B1088" s="108"/>
      <c r="C1088" s="105"/>
      <c r="D1088" s="105"/>
    </row>
    <row r="1089" spans="2:4">
      <c r="B1089" s="108"/>
      <c r="C1089" s="105"/>
      <c r="D1089" s="105"/>
    </row>
    <row r="1090" spans="2:4">
      <c r="B1090" s="108"/>
      <c r="C1090" s="105"/>
      <c r="D1090" s="105"/>
    </row>
    <row r="1091" spans="2:4">
      <c r="B1091" s="108"/>
      <c r="C1091" s="105"/>
      <c r="D1091" s="105"/>
    </row>
    <row r="1092" spans="2:4">
      <c r="B1092" s="108"/>
      <c r="C1092" s="105"/>
      <c r="D1092" s="105"/>
    </row>
    <row r="1093" spans="2:4">
      <c r="B1093" s="108"/>
      <c r="C1093" s="105"/>
      <c r="D1093" s="105"/>
    </row>
    <row r="1094" spans="2:4">
      <c r="B1094" s="108"/>
      <c r="C1094" s="105"/>
      <c r="D1094" s="105"/>
    </row>
    <row r="1095" spans="2:4">
      <c r="B1095" s="108"/>
      <c r="C1095" s="105"/>
      <c r="D1095" s="105"/>
    </row>
    <row r="1096" spans="2:4">
      <c r="B1096" s="108"/>
      <c r="C1096" s="105"/>
      <c r="D1096" s="105"/>
    </row>
    <row r="1097" spans="2:4">
      <c r="B1097" s="108"/>
      <c r="C1097" s="105"/>
      <c r="D1097" s="105"/>
    </row>
    <row r="1098" spans="2:4">
      <c r="B1098" s="108"/>
      <c r="C1098" s="105"/>
      <c r="D1098" s="105"/>
    </row>
    <row r="1099" spans="2:4">
      <c r="B1099" s="108"/>
      <c r="C1099" s="105"/>
      <c r="D1099" s="105"/>
    </row>
    <row r="1100" spans="2:4">
      <c r="B1100" s="108"/>
      <c r="C1100" s="105"/>
      <c r="D1100" s="105"/>
    </row>
    <row r="1101" spans="2:4">
      <c r="B1101" s="108"/>
      <c r="C1101" s="105"/>
      <c r="D1101" s="105"/>
    </row>
    <row r="1102" spans="2:4">
      <c r="B1102" s="108"/>
      <c r="C1102" s="105"/>
      <c r="D1102" s="105"/>
    </row>
    <row r="1103" spans="2:4">
      <c r="B1103" s="108"/>
      <c r="C1103" s="105"/>
      <c r="D1103" s="105"/>
    </row>
    <row r="1104" spans="2:4">
      <c r="B1104" s="108"/>
      <c r="C1104" s="105"/>
      <c r="D1104" s="105"/>
    </row>
    <row r="1105" spans="2:4">
      <c r="B1105" s="108"/>
      <c r="C1105" s="105"/>
      <c r="D1105" s="105"/>
    </row>
    <row r="1106" spans="2:4">
      <c r="B1106" s="108"/>
      <c r="C1106" s="105"/>
      <c r="D1106" s="105"/>
    </row>
    <row r="1107" spans="2:4">
      <c r="B1107" s="108"/>
      <c r="C1107" s="105"/>
      <c r="D1107" s="105"/>
    </row>
    <row r="1108" spans="2:4">
      <c r="B1108" s="108"/>
      <c r="C1108" s="105"/>
      <c r="D1108" s="105"/>
    </row>
    <row r="1109" spans="2:4">
      <c r="B1109" s="108"/>
      <c r="C1109" s="105"/>
      <c r="D1109" s="105"/>
    </row>
    <row r="1110" spans="2:4">
      <c r="B1110" s="108"/>
      <c r="C1110" s="105"/>
      <c r="D1110" s="105"/>
    </row>
    <row r="1111" spans="2:4">
      <c r="B1111" s="108"/>
      <c r="C1111" s="105"/>
      <c r="D1111" s="105"/>
    </row>
    <row r="1112" spans="2:4">
      <c r="B1112" s="108"/>
      <c r="C1112" s="105"/>
      <c r="D1112" s="105"/>
    </row>
    <row r="1113" spans="2:4">
      <c r="B1113" s="108"/>
      <c r="C1113" s="105"/>
      <c r="D1113" s="105"/>
    </row>
    <row r="1114" spans="2:4">
      <c r="B1114" s="108"/>
      <c r="C1114" s="105"/>
      <c r="D1114" s="105"/>
    </row>
  </sheetData>
  <pageMargins left="0.35416666666666702" right="0.35416666666666702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153"/>
  <sheetViews>
    <sheetView topLeftCell="A11" zoomScale="70" zoomScaleNormal="70" workbookViewId="0">
      <selection activeCell="G76" sqref="G76"/>
    </sheetView>
  </sheetViews>
  <sheetFormatPr defaultColWidth="7.6640625" defaultRowHeight="15.75"/>
  <cols>
    <col min="1" max="1" width="8.77734375" style="417" customWidth="1"/>
    <col min="2" max="2" width="22" style="447" customWidth="1"/>
    <col min="3" max="3" width="15.77734375" style="417" customWidth="1"/>
    <col min="4" max="4" width="15.77734375" style="419" customWidth="1"/>
    <col min="5" max="5" width="15.77734375" style="417" customWidth="1"/>
    <col min="6" max="6" width="15.77734375" style="447" customWidth="1"/>
    <col min="7" max="7" width="15.77734375" style="424" customWidth="1"/>
    <col min="8" max="8" width="15.77734375" style="447" customWidth="1"/>
    <col min="9" max="9" width="15.77734375" style="417" customWidth="1"/>
    <col min="10" max="10" width="15.77734375" style="447" customWidth="1"/>
    <col min="11" max="11" width="8.77734375" style="417" customWidth="1"/>
    <col min="12" max="15" width="11" style="417" customWidth="1"/>
    <col min="16" max="16" width="11.77734375" style="417" customWidth="1"/>
    <col min="17" max="1024" width="7.6640625" style="417"/>
    <col min="1025" max="16384" width="7.6640625" style="418"/>
  </cols>
  <sheetData>
    <row r="1" spans="1:18" ht="15.6" customHeight="1">
      <c r="A1" s="412"/>
      <c r="B1" s="413" t="s">
        <v>526</v>
      </c>
      <c r="C1" s="414"/>
      <c r="D1" s="415"/>
      <c r="E1" s="412"/>
      <c r="F1" s="412"/>
      <c r="G1" s="416"/>
      <c r="H1" s="412"/>
      <c r="I1" s="412"/>
      <c r="J1" s="412"/>
      <c r="K1" s="412"/>
    </row>
    <row r="2" spans="1:18" ht="15.6" customHeight="1">
      <c r="A2" s="412"/>
      <c r="B2" s="416"/>
      <c r="C2" s="414"/>
      <c r="E2" s="412"/>
      <c r="F2" s="412"/>
      <c r="G2" s="416"/>
      <c r="H2" s="412"/>
      <c r="I2" s="412"/>
      <c r="J2" s="412"/>
      <c r="K2" s="412"/>
    </row>
    <row r="3" spans="1:18" ht="15.6" customHeight="1">
      <c r="A3" s="412"/>
      <c r="B3" s="413" t="s">
        <v>527</v>
      </c>
      <c r="C3" s="414"/>
      <c r="E3" s="412"/>
      <c r="F3" s="412"/>
      <c r="G3" s="416"/>
      <c r="H3" s="412"/>
      <c r="I3" s="412"/>
      <c r="J3" s="412"/>
      <c r="K3" s="412"/>
    </row>
    <row r="4" spans="1:18" ht="15.6" customHeight="1">
      <c r="A4" s="412"/>
      <c r="B4" s="413" t="s">
        <v>1271</v>
      </c>
      <c r="C4" s="414"/>
      <c r="E4" s="412"/>
      <c r="F4" s="412"/>
      <c r="G4" s="416"/>
      <c r="H4" s="412"/>
      <c r="I4" s="412"/>
      <c r="J4" s="412"/>
      <c r="K4" s="412"/>
    </row>
    <row r="5" spans="1:18" ht="15.6" customHeight="1">
      <c r="A5" s="412"/>
      <c r="B5" s="413" t="s">
        <v>1272</v>
      </c>
      <c r="C5" s="420"/>
      <c r="E5" s="421"/>
      <c r="F5" s="421"/>
      <c r="G5" s="422"/>
      <c r="H5" s="421"/>
      <c r="I5" s="421"/>
      <c r="J5" s="412"/>
      <c r="K5" s="412"/>
    </row>
    <row r="6" spans="1:18" s="417" customFormat="1" ht="15.6" customHeight="1">
      <c r="A6" s="412"/>
      <c r="B6" s="422" t="s">
        <v>1273</v>
      </c>
      <c r="C6" s="420"/>
      <c r="E6" s="421"/>
      <c r="F6" s="421"/>
      <c r="G6" s="422"/>
      <c r="H6" s="421"/>
      <c r="I6" s="421"/>
      <c r="J6" s="412"/>
      <c r="K6" s="412"/>
    </row>
    <row r="7" spans="1:18" ht="15.6" customHeight="1">
      <c r="A7" s="412"/>
      <c r="B7" s="416" t="s">
        <v>1274</v>
      </c>
      <c r="C7" s="420"/>
      <c r="D7" s="416"/>
      <c r="E7" s="421"/>
      <c r="F7" s="421"/>
      <c r="G7" s="422"/>
      <c r="H7" s="421"/>
      <c r="I7" s="421"/>
      <c r="J7" s="412"/>
      <c r="K7" s="412"/>
    </row>
    <row r="8" spans="1:18" s="417" customFormat="1" ht="15.6" customHeight="1">
      <c r="A8" s="412"/>
      <c r="B8" s="423"/>
      <c r="G8" s="424"/>
      <c r="K8" s="415"/>
      <c r="P8" s="419"/>
      <c r="Q8" s="419"/>
      <c r="R8" s="419"/>
    </row>
    <row r="9" spans="1:18" s="417" customFormat="1" ht="15.6" customHeight="1">
      <c r="A9" s="412"/>
      <c r="B9" s="425" t="s">
        <v>424</v>
      </c>
      <c r="C9" s="425" t="s">
        <v>425</v>
      </c>
      <c r="D9" s="425" t="s">
        <v>426</v>
      </c>
      <c r="E9" s="425" t="s">
        <v>427</v>
      </c>
      <c r="F9" s="425" t="s">
        <v>428</v>
      </c>
      <c r="G9" s="425" t="s">
        <v>429</v>
      </c>
      <c r="H9" s="425" t="s">
        <v>430</v>
      </c>
      <c r="I9" s="425" t="s">
        <v>431</v>
      </c>
      <c r="K9" s="426"/>
      <c r="P9" s="427"/>
      <c r="Q9" s="427"/>
      <c r="R9" s="427"/>
    </row>
    <row r="10" spans="1:18" s="417" customFormat="1" ht="15.6" customHeight="1">
      <c r="A10" s="412"/>
      <c r="B10" s="428" t="s">
        <v>432</v>
      </c>
      <c r="C10" s="428" t="s">
        <v>433</v>
      </c>
      <c r="D10" s="428" t="s">
        <v>434</v>
      </c>
      <c r="E10" s="428" t="s">
        <v>435</v>
      </c>
      <c r="F10" s="428" t="s">
        <v>436</v>
      </c>
      <c r="G10" s="428" t="s">
        <v>437</v>
      </c>
      <c r="H10" s="428" t="s">
        <v>438</v>
      </c>
      <c r="I10" s="428" t="s">
        <v>439</v>
      </c>
      <c r="K10" s="426"/>
      <c r="P10" s="427"/>
      <c r="Q10" s="427"/>
      <c r="R10" s="427"/>
    </row>
    <row r="11" spans="1:18" s="417" customFormat="1" ht="15.6" customHeight="1">
      <c r="A11" s="412"/>
      <c r="B11" s="428" t="s">
        <v>440</v>
      </c>
      <c r="C11" s="428" t="s">
        <v>441</v>
      </c>
      <c r="D11" s="428" t="s">
        <v>442</v>
      </c>
      <c r="E11" s="428" t="s">
        <v>443</v>
      </c>
      <c r="F11" s="428" t="s">
        <v>444</v>
      </c>
      <c r="G11" s="428" t="s">
        <v>445</v>
      </c>
      <c r="H11" s="428" t="s">
        <v>446</v>
      </c>
      <c r="I11" s="428" t="s">
        <v>447</v>
      </c>
      <c r="K11" s="426"/>
      <c r="P11" s="427"/>
      <c r="Q11" s="427"/>
      <c r="R11" s="427"/>
    </row>
    <row r="12" spans="1:18" s="417" customFormat="1" ht="15.6" customHeight="1">
      <c r="A12" s="412"/>
      <c r="B12" s="429" t="s">
        <v>448</v>
      </c>
      <c r="C12" s="429" t="s">
        <v>449</v>
      </c>
      <c r="D12" s="429" t="s">
        <v>450</v>
      </c>
      <c r="E12" s="429" t="s">
        <v>451</v>
      </c>
      <c r="F12" s="429" t="s">
        <v>452</v>
      </c>
      <c r="G12" s="429" t="s">
        <v>453</v>
      </c>
      <c r="H12" s="429" t="s">
        <v>454</v>
      </c>
      <c r="I12" s="429" t="s">
        <v>455</v>
      </c>
      <c r="K12" s="412"/>
    </row>
    <row r="13" spans="1:18" s="417" customFormat="1" ht="15.6" customHeight="1">
      <c r="A13" s="412"/>
      <c r="B13" s="430" t="s">
        <v>257</v>
      </c>
      <c r="C13" s="431" t="s">
        <v>251</v>
      </c>
      <c r="D13" s="431" t="s">
        <v>245</v>
      </c>
      <c r="E13" s="431" t="s">
        <v>239</v>
      </c>
      <c r="F13" s="431" t="s">
        <v>233</v>
      </c>
      <c r="G13" s="431" t="s">
        <v>227</v>
      </c>
      <c r="H13" s="431" t="s">
        <v>221</v>
      </c>
      <c r="I13" s="432" t="s">
        <v>215</v>
      </c>
      <c r="K13" s="412"/>
    </row>
    <row r="14" spans="1:18" ht="15.6" customHeight="1">
      <c r="A14" s="412"/>
      <c r="B14" s="433" t="s">
        <v>263</v>
      </c>
      <c r="C14" s="434" t="s">
        <v>269</v>
      </c>
      <c r="D14" s="434" t="s">
        <v>275</v>
      </c>
      <c r="E14" s="434" t="s">
        <v>281</v>
      </c>
      <c r="F14" s="434" t="s">
        <v>300</v>
      </c>
      <c r="G14" s="434" t="s">
        <v>287</v>
      </c>
      <c r="H14" s="434" t="s">
        <v>305</v>
      </c>
      <c r="I14" s="435" t="s">
        <v>294</v>
      </c>
      <c r="J14" s="436"/>
      <c r="K14" s="412"/>
    </row>
    <row r="15" spans="1:18" ht="15.6" customHeight="1">
      <c r="A15" s="412"/>
      <c r="B15" s="433" t="s">
        <v>314</v>
      </c>
      <c r="C15" s="434" t="s">
        <v>368</v>
      </c>
      <c r="D15" s="434" t="s">
        <v>362</v>
      </c>
      <c r="E15" s="434" t="s">
        <v>408</v>
      </c>
      <c r="F15" s="434" t="s">
        <v>330</v>
      </c>
      <c r="G15" s="434" t="s">
        <v>378</v>
      </c>
      <c r="H15" s="434" t="s">
        <v>403</v>
      </c>
      <c r="I15" s="435" t="s">
        <v>310</v>
      </c>
      <c r="J15" s="436"/>
      <c r="K15" s="412"/>
    </row>
    <row r="16" spans="1:18" ht="15.6" customHeight="1">
      <c r="A16" s="412"/>
      <c r="B16" s="433" t="s">
        <v>382</v>
      </c>
      <c r="C16" s="434" t="s">
        <v>326</v>
      </c>
      <c r="D16" s="434" t="s">
        <v>350</v>
      </c>
      <c r="E16" s="434" t="s">
        <v>356</v>
      </c>
      <c r="F16" s="434" t="s">
        <v>412</v>
      </c>
      <c r="G16" s="434" t="s">
        <v>340</v>
      </c>
      <c r="H16" s="434" t="s">
        <v>397</v>
      </c>
      <c r="I16" s="435" t="s">
        <v>387</v>
      </c>
      <c r="J16" s="436"/>
      <c r="K16" s="412"/>
    </row>
    <row r="17" spans="1:15" ht="15.6" customHeight="1">
      <c r="A17" s="412"/>
      <c r="B17" s="437"/>
      <c r="C17" s="438" t="s">
        <v>421</v>
      </c>
      <c r="D17" s="438" t="s">
        <v>416</v>
      </c>
      <c r="E17" s="438" t="s">
        <v>321</v>
      </c>
      <c r="F17" s="438" t="s">
        <v>345</v>
      </c>
      <c r="G17" s="438" t="s">
        <v>336</v>
      </c>
      <c r="H17" s="438" t="s">
        <v>373</v>
      </c>
      <c r="I17" s="439" t="s">
        <v>391</v>
      </c>
      <c r="J17" s="412"/>
      <c r="K17" s="412"/>
    </row>
    <row r="18" spans="1:15" ht="15.6" customHeight="1">
      <c r="A18" s="412"/>
      <c r="B18" s="440"/>
      <c r="C18" s="440"/>
      <c r="D18" s="440"/>
      <c r="E18" s="440"/>
      <c r="F18" s="440"/>
      <c r="G18" s="441"/>
      <c r="H18" s="440"/>
      <c r="I18" s="440"/>
      <c r="J18" s="412"/>
      <c r="K18" s="412"/>
    </row>
    <row r="19" spans="1:15" ht="15.6" customHeight="1">
      <c r="B19" s="442" t="s">
        <v>528</v>
      </c>
      <c r="C19" s="443"/>
      <c r="D19" s="444"/>
      <c r="E19" s="443"/>
      <c r="F19" s="445"/>
      <c r="G19" s="446"/>
    </row>
    <row r="20" spans="1:15" ht="15.6" customHeight="1">
      <c r="B20" s="442" t="s">
        <v>1275</v>
      </c>
      <c r="C20" s="443"/>
      <c r="D20" s="444"/>
      <c r="E20" s="443"/>
      <c r="F20" s="445"/>
      <c r="G20" s="446"/>
    </row>
    <row r="21" spans="1:15" ht="15.6" customHeight="1">
      <c r="B21" s="442" t="s">
        <v>1276</v>
      </c>
      <c r="C21" s="443"/>
      <c r="D21" s="444"/>
      <c r="E21" s="443"/>
      <c r="F21" s="445"/>
      <c r="G21" s="446"/>
    </row>
    <row r="22" spans="1:15" ht="15.6" customHeight="1"/>
    <row r="23" spans="1:15" ht="15.6" customHeight="1">
      <c r="B23" s="413" t="s">
        <v>1277</v>
      </c>
      <c r="D23" s="427"/>
    </row>
    <row r="24" spans="1:15" ht="15.6" customHeight="1">
      <c r="C24" s="427"/>
      <c r="D24" s="427"/>
      <c r="L24" s="427"/>
      <c r="M24" s="427"/>
      <c r="N24" s="427"/>
      <c r="O24" s="427"/>
    </row>
    <row r="25" spans="1:15" ht="15.6" customHeight="1">
      <c r="B25" s="411" t="str">
        <f>男子賽程!S7</f>
        <v>2R</v>
      </c>
      <c r="C25" s="448" t="s">
        <v>70</v>
      </c>
      <c r="D25" s="427"/>
      <c r="L25" s="427"/>
      <c r="M25" s="427"/>
      <c r="N25" s="427"/>
      <c r="O25" s="427"/>
    </row>
    <row r="26" spans="1:15" ht="15.6" customHeight="1">
      <c r="C26" s="449" t="s">
        <v>529</v>
      </c>
      <c r="D26" s="450"/>
      <c r="L26" s="427"/>
      <c r="M26" s="427"/>
      <c r="N26" s="427"/>
      <c r="O26" s="427"/>
    </row>
    <row r="27" spans="1:15" ht="15.6" customHeight="1">
      <c r="B27" s="419"/>
      <c r="C27" s="451" t="s">
        <v>530</v>
      </c>
      <c r="D27" s="452" t="str">
        <f>B25</f>
        <v>2R</v>
      </c>
      <c r="E27" s="453"/>
      <c r="F27" s="453"/>
      <c r="G27" s="454"/>
      <c r="H27" s="453"/>
      <c r="I27" s="455"/>
      <c r="L27" s="456"/>
      <c r="M27" s="427"/>
      <c r="N27" s="427"/>
      <c r="O27" s="427"/>
    </row>
    <row r="28" spans="1:15" ht="15.6" customHeight="1">
      <c r="B28" s="457" t="str">
        <f>B82</f>
        <v xml:space="preserve">Sunflower </v>
      </c>
      <c r="C28" s="458"/>
      <c r="D28" s="449"/>
      <c r="E28" s="459"/>
      <c r="F28" s="460"/>
      <c r="G28" s="454"/>
      <c r="H28" s="453"/>
      <c r="I28" s="455"/>
      <c r="L28" s="427"/>
      <c r="M28" s="460"/>
      <c r="N28" s="460"/>
      <c r="O28" s="461"/>
    </row>
    <row r="29" spans="1:15" ht="15.6" customHeight="1">
      <c r="B29" s="419"/>
      <c r="D29" s="449" t="s">
        <v>531</v>
      </c>
      <c r="E29" s="462"/>
      <c r="G29" s="454"/>
      <c r="H29" s="453"/>
      <c r="I29" s="455"/>
      <c r="L29" s="427"/>
      <c r="M29" s="460"/>
      <c r="N29" s="460"/>
      <c r="O29" s="461"/>
    </row>
    <row r="30" spans="1:15" ht="15.6" customHeight="1">
      <c r="B30" s="450"/>
      <c r="D30" s="451" t="s">
        <v>532</v>
      </c>
      <c r="E30" s="461"/>
      <c r="F30" s="463" t="str">
        <f>D32</f>
        <v>SCAA - 龖</v>
      </c>
      <c r="G30" s="454"/>
      <c r="H30" s="453"/>
      <c r="I30" s="455"/>
      <c r="L30" s="427"/>
      <c r="M30" s="456"/>
      <c r="N30" s="461"/>
      <c r="O30" s="461"/>
    </row>
    <row r="31" spans="1:15" ht="15.6" customHeight="1">
      <c r="B31" s="457" t="str">
        <f>B81</f>
        <v>ALPS-Brazil</v>
      </c>
      <c r="C31" s="448"/>
      <c r="D31" s="464"/>
      <c r="E31" s="460"/>
      <c r="F31" s="464"/>
      <c r="G31" s="465"/>
      <c r="H31" s="453"/>
      <c r="I31" s="455"/>
      <c r="L31" s="427"/>
      <c r="M31" s="456"/>
      <c r="N31" s="461"/>
      <c r="O31" s="461"/>
    </row>
    <row r="32" spans="1:15" ht="15.6" customHeight="1">
      <c r="B32" s="466"/>
      <c r="C32" s="449" t="s">
        <v>533</v>
      </c>
      <c r="D32" s="467" t="str">
        <f>B34</f>
        <v>SCAA - 龖</v>
      </c>
      <c r="E32" s="468"/>
      <c r="F32" s="464"/>
      <c r="G32" s="465"/>
      <c r="H32" s="453"/>
      <c r="I32" s="455"/>
      <c r="L32" s="427"/>
      <c r="M32" s="460"/>
      <c r="N32" s="460"/>
      <c r="O32" s="461"/>
    </row>
    <row r="33" spans="2:15" ht="15.6" customHeight="1">
      <c r="C33" s="451" t="s">
        <v>534</v>
      </c>
      <c r="D33" s="453"/>
      <c r="E33" s="460"/>
      <c r="F33" s="464"/>
      <c r="G33" s="465"/>
      <c r="H33" s="453"/>
      <c r="I33" s="455"/>
      <c r="L33" s="456"/>
      <c r="M33" s="460"/>
      <c r="N33" s="468"/>
      <c r="O33" s="461"/>
    </row>
    <row r="34" spans="2:15" ht="15.6" customHeight="1">
      <c r="B34" s="411" t="str">
        <f>男子賽程!Z25</f>
        <v>SCAA - 龖</v>
      </c>
      <c r="C34" s="458" t="s">
        <v>112</v>
      </c>
      <c r="D34" s="453"/>
      <c r="E34" s="456"/>
      <c r="F34" s="449" t="s">
        <v>535</v>
      </c>
      <c r="G34" s="469"/>
      <c r="H34" s="453"/>
      <c r="I34" s="455"/>
      <c r="L34" s="427"/>
      <c r="M34" s="460"/>
      <c r="N34" s="460"/>
      <c r="O34" s="461"/>
    </row>
    <row r="35" spans="2:15" ht="15.6" customHeight="1">
      <c r="D35" s="460"/>
      <c r="E35" s="460"/>
      <c r="F35" s="451" t="s">
        <v>1261</v>
      </c>
      <c r="L35" s="427"/>
      <c r="M35" s="460"/>
      <c r="N35" s="456"/>
      <c r="O35" s="456"/>
    </row>
    <row r="36" spans="2:15" ht="15.6" customHeight="1">
      <c r="B36" s="450"/>
      <c r="C36" s="470"/>
      <c r="D36" s="460"/>
      <c r="E36" s="460"/>
      <c r="F36" s="464"/>
      <c r="G36" s="471"/>
      <c r="H36" s="463" t="str">
        <f>F42</f>
        <v>SBDW</v>
      </c>
      <c r="L36" s="427"/>
      <c r="M36" s="460"/>
      <c r="N36" s="460"/>
      <c r="O36" s="461"/>
    </row>
    <row r="37" spans="2:15" ht="15.6" customHeight="1">
      <c r="B37" s="472" t="str">
        <f>男子賽程!S19</f>
        <v>SBDW</v>
      </c>
      <c r="C37" s="448" t="s">
        <v>94</v>
      </c>
      <c r="D37" s="456"/>
      <c r="E37" s="461"/>
      <c r="F37" s="464"/>
      <c r="H37" s="473"/>
      <c r="L37" s="427"/>
      <c r="M37" s="460"/>
      <c r="N37" s="460"/>
      <c r="O37" s="461"/>
    </row>
    <row r="38" spans="2:15" ht="15.6" customHeight="1">
      <c r="B38" s="419"/>
      <c r="C38" s="449" t="s">
        <v>536</v>
      </c>
      <c r="D38" s="459"/>
      <c r="E38" s="461"/>
      <c r="F38" s="464"/>
      <c r="H38" s="474"/>
      <c r="L38" s="427"/>
      <c r="M38" s="460"/>
      <c r="N38" s="460"/>
      <c r="O38" s="461"/>
    </row>
    <row r="39" spans="2:15" ht="15.6" customHeight="1">
      <c r="B39" s="419"/>
      <c r="C39" s="474" t="s">
        <v>537</v>
      </c>
      <c r="D39" s="475" t="str">
        <f>B37</f>
        <v>SBDW</v>
      </c>
      <c r="E39" s="460"/>
      <c r="F39" s="464"/>
      <c r="H39" s="474"/>
      <c r="L39" s="427"/>
      <c r="M39" s="456"/>
      <c r="N39" s="461"/>
      <c r="O39" s="461"/>
    </row>
    <row r="40" spans="2:15" ht="15.6" customHeight="1">
      <c r="B40" s="457" t="str">
        <f>B77</f>
        <v>我要買G63</v>
      </c>
      <c r="C40" s="476"/>
      <c r="D40" s="477"/>
      <c r="E40" s="453"/>
      <c r="F40" s="464"/>
      <c r="H40" s="474"/>
      <c r="I40" s="455"/>
      <c r="L40" s="456"/>
      <c r="M40" s="460"/>
      <c r="N40" s="460"/>
      <c r="O40" s="461"/>
    </row>
    <row r="41" spans="2:15" ht="15.6" customHeight="1">
      <c r="B41" s="419"/>
      <c r="D41" s="449"/>
      <c r="G41" s="465"/>
      <c r="H41" s="464"/>
      <c r="I41" s="455"/>
      <c r="L41" s="427"/>
      <c r="M41" s="460"/>
      <c r="N41" s="460"/>
      <c r="O41" s="461"/>
    </row>
    <row r="42" spans="2:15" ht="15.6" customHeight="1">
      <c r="D42" s="449" t="s">
        <v>538</v>
      </c>
      <c r="E42" s="478"/>
      <c r="F42" s="475" t="str">
        <f>D39</f>
        <v>SBDW</v>
      </c>
      <c r="G42" s="479"/>
      <c r="H42" s="464"/>
      <c r="I42" s="455"/>
      <c r="L42" s="427"/>
      <c r="M42" s="456"/>
      <c r="N42" s="460"/>
      <c r="O42" s="461"/>
    </row>
    <row r="43" spans="2:15" ht="15.6" customHeight="1">
      <c r="B43" s="419"/>
      <c r="C43" s="480"/>
      <c r="D43" s="464" t="s">
        <v>539</v>
      </c>
      <c r="E43" s="460"/>
      <c r="F43" s="453"/>
      <c r="G43" s="479"/>
      <c r="H43" s="464"/>
      <c r="I43" s="455"/>
      <c r="L43" s="427"/>
      <c r="M43" s="460"/>
      <c r="N43" s="460"/>
      <c r="O43" s="461"/>
    </row>
    <row r="44" spans="2:15" ht="15.6" customHeight="1">
      <c r="B44" s="411" t="str">
        <f>B78</f>
        <v>ALPS - 9號烈峰或PO峰信號</v>
      </c>
      <c r="C44" s="448"/>
      <c r="D44" s="464"/>
      <c r="E44" s="460"/>
      <c r="F44" s="453"/>
      <c r="G44" s="479"/>
      <c r="H44" s="464"/>
      <c r="I44" s="455"/>
      <c r="L44" s="427"/>
      <c r="M44" s="460"/>
      <c r="N44" s="460"/>
      <c r="O44" s="461"/>
    </row>
    <row r="45" spans="2:15" ht="15.6" customHeight="1">
      <c r="B45" s="419"/>
      <c r="C45" s="449" t="s">
        <v>540</v>
      </c>
      <c r="D45" s="481" t="str">
        <f>B44</f>
        <v>ALPS - 9號烈峰或PO峰信號</v>
      </c>
      <c r="E45" s="460"/>
      <c r="F45" s="453"/>
      <c r="G45" s="479"/>
      <c r="H45" s="464"/>
      <c r="I45" s="455"/>
      <c r="L45" s="427"/>
      <c r="M45" s="460"/>
      <c r="N45" s="460"/>
      <c r="O45" s="461"/>
    </row>
    <row r="46" spans="2:15" ht="15.6" customHeight="1">
      <c r="B46" s="419"/>
      <c r="C46" s="451" t="s">
        <v>541</v>
      </c>
      <c r="D46" s="460"/>
      <c r="E46" s="453"/>
      <c r="F46" s="453"/>
      <c r="G46" s="479"/>
      <c r="H46" s="464"/>
      <c r="I46" s="455"/>
      <c r="J46" s="450"/>
      <c r="L46" s="456"/>
      <c r="M46" s="460"/>
      <c r="N46" s="460"/>
      <c r="O46" s="461"/>
    </row>
    <row r="47" spans="2:15" ht="15.6" customHeight="1">
      <c r="B47" s="457" t="s">
        <v>404</v>
      </c>
      <c r="C47" s="458" t="s">
        <v>88</v>
      </c>
      <c r="D47" s="456"/>
      <c r="E47" s="461"/>
      <c r="F47" s="460"/>
      <c r="H47" s="449" t="s">
        <v>542</v>
      </c>
      <c r="I47" s="482"/>
      <c r="J47" s="463" t="str">
        <f>H60</f>
        <v>仁濟-ALPS</v>
      </c>
      <c r="K47" s="483"/>
      <c r="L47" s="427"/>
      <c r="M47" s="460"/>
      <c r="N47" s="460"/>
      <c r="O47" s="461"/>
    </row>
    <row r="48" spans="2:15" ht="15.6" customHeight="1">
      <c r="B48" s="419"/>
      <c r="D48" s="460"/>
      <c r="E48" s="460"/>
      <c r="F48" s="460"/>
      <c r="H48" s="464" t="s">
        <v>543</v>
      </c>
      <c r="I48" s="453"/>
      <c r="J48" s="484"/>
      <c r="L48" s="427"/>
      <c r="M48" s="456"/>
      <c r="N48" s="461"/>
      <c r="O48" s="461"/>
    </row>
    <row r="49" spans="2:15" ht="15.6" customHeight="1">
      <c r="B49" s="419"/>
      <c r="C49" s="470"/>
      <c r="D49" s="460"/>
      <c r="E49" s="468"/>
      <c r="F49" s="460"/>
      <c r="G49" s="485"/>
      <c r="H49" s="464" t="s">
        <v>1267</v>
      </c>
      <c r="I49" s="486"/>
      <c r="J49" s="419"/>
      <c r="L49" s="427"/>
      <c r="M49" s="460"/>
      <c r="N49" s="460"/>
      <c r="O49" s="461"/>
    </row>
    <row r="50" spans="2:15" ht="15.6" customHeight="1">
      <c r="B50" s="411" t="s">
        <v>544</v>
      </c>
      <c r="C50" s="448" t="s">
        <v>82</v>
      </c>
      <c r="D50" s="427"/>
      <c r="G50" s="479"/>
      <c r="H50" s="464"/>
      <c r="I50" s="455"/>
      <c r="L50" s="427"/>
      <c r="M50" s="460"/>
      <c r="N50" s="468"/>
      <c r="O50" s="461"/>
    </row>
    <row r="51" spans="2:15" ht="15.6" customHeight="1">
      <c r="C51" s="449" t="s">
        <v>545</v>
      </c>
      <c r="D51" s="427"/>
      <c r="G51" s="479"/>
      <c r="H51" s="464"/>
      <c r="I51" s="455"/>
      <c r="L51" s="427"/>
      <c r="M51" s="427"/>
      <c r="N51" s="427"/>
      <c r="O51" s="427"/>
    </row>
    <row r="52" spans="2:15" ht="15.6" customHeight="1">
      <c r="B52" s="419"/>
      <c r="C52" s="451" t="s">
        <v>546</v>
      </c>
      <c r="D52" s="475" t="str">
        <f>B50</f>
        <v>ALPS-TANGWO</v>
      </c>
      <c r="E52" s="453"/>
      <c r="F52" s="453"/>
      <c r="G52" s="479"/>
      <c r="H52" s="464"/>
      <c r="I52" s="455"/>
      <c r="L52" s="456"/>
      <c r="M52" s="427"/>
      <c r="N52" s="427"/>
      <c r="O52" s="427"/>
    </row>
    <row r="53" spans="2:15" ht="15.6" customHeight="1">
      <c r="B53" s="457" t="str">
        <f>B76</f>
        <v>BALLMING</v>
      </c>
      <c r="C53" s="458"/>
      <c r="D53" s="464"/>
      <c r="E53" s="487"/>
      <c r="F53" s="460"/>
      <c r="G53" s="479"/>
      <c r="H53" s="464"/>
      <c r="I53" s="455"/>
      <c r="L53" s="427"/>
      <c r="M53" s="460"/>
      <c r="N53" s="460"/>
      <c r="O53" s="461"/>
    </row>
    <row r="54" spans="2:15" ht="15.6" customHeight="1">
      <c r="B54" s="419"/>
      <c r="D54" s="449" t="s">
        <v>547</v>
      </c>
      <c r="E54" s="461"/>
      <c r="F54" s="452" t="str">
        <f>D52</f>
        <v>ALPS-TANGWO</v>
      </c>
      <c r="G54" s="479"/>
      <c r="H54" s="464"/>
      <c r="I54" s="455"/>
      <c r="L54" s="427"/>
      <c r="M54" s="460"/>
      <c r="N54" s="460"/>
      <c r="O54" s="461"/>
    </row>
    <row r="55" spans="2:15" ht="15.6" customHeight="1">
      <c r="D55" s="464" t="s">
        <v>548</v>
      </c>
      <c r="E55" s="461"/>
      <c r="F55" s="464"/>
      <c r="G55" s="479"/>
      <c r="H55" s="464"/>
      <c r="I55" s="455"/>
      <c r="L55" s="427"/>
      <c r="M55" s="456"/>
      <c r="N55" s="461"/>
      <c r="O55" s="461"/>
    </row>
    <row r="56" spans="2:15" ht="15.6" customHeight="1">
      <c r="B56" s="457" t="str">
        <f>B79</f>
        <v>ALPS - LC</v>
      </c>
      <c r="C56" s="448"/>
      <c r="D56" s="488"/>
      <c r="E56" s="460"/>
      <c r="F56" s="464"/>
      <c r="G56" s="489"/>
      <c r="H56" s="464"/>
      <c r="I56" s="455"/>
      <c r="L56" s="427"/>
      <c r="M56" s="456"/>
      <c r="N56" s="461"/>
      <c r="O56" s="461"/>
    </row>
    <row r="57" spans="2:15" ht="15.6" customHeight="1">
      <c r="B57" s="419"/>
      <c r="C57" s="449" t="s">
        <v>549</v>
      </c>
      <c r="D57" s="452" t="str">
        <f>B56</f>
        <v>ALPS - LC</v>
      </c>
      <c r="E57" s="468"/>
      <c r="F57" s="464"/>
      <c r="G57" s="454"/>
      <c r="H57" s="464"/>
      <c r="I57" s="455"/>
      <c r="L57" s="427"/>
      <c r="M57" s="460"/>
      <c r="N57" s="460"/>
      <c r="O57" s="461"/>
    </row>
    <row r="58" spans="2:15" ht="15.6" customHeight="1">
      <c r="B58" s="453"/>
      <c r="C58" s="451" t="s">
        <v>550</v>
      </c>
      <c r="D58" s="453"/>
      <c r="E58" s="460"/>
      <c r="F58" s="464"/>
      <c r="G58" s="454"/>
      <c r="H58" s="464"/>
      <c r="I58" s="455"/>
      <c r="L58" s="456"/>
      <c r="M58" s="460"/>
      <c r="N58" s="468"/>
      <c r="O58" s="461"/>
    </row>
    <row r="59" spans="2:15" ht="15.6" customHeight="1">
      <c r="B59" s="411" t="str">
        <f>男子賽程!Z19</f>
        <v>ALPS - SC</v>
      </c>
      <c r="C59" s="458" t="s">
        <v>100</v>
      </c>
      <c r="D59" s="453"/>
      <c r="E59" s="456"/>
      <c r="F59" s="449" t="s">
        <v>551</v>
      </c>
      <c r="H59" s="490"/>
      <c r="I59" s="455"/>
      <c r="L59" s="427"/>
      <c r="M59" s="460"/>
      <c r="N59" s="460"/>
      <c r="O59" s="461"/>
    </row>
    <row r="60" spans="2:15" ht="15.6" customHeight="1">
      <c r="B60" s="453"/>
      <c r="D60" s="460"/>
      <c r="E60" s="460"/>
      <c r="F60" s="451" t="s">
        <v>1262</v>
      </c>
      <c r="G60" s="491"/>
      <c r="H60" s="411" t="str">
        <f>F65</f>
        <v>仁濟-ALPS</v>
      </c>
      <c r="I60" s="455"/>
      <c r="K60" s="455"/>
      <c r="L60" s="427"/>
      <c r="M60" s="460"/>
      <c r="N60" s="456"/>
      <c r="O60" s="456"/>
    </row>
    <row r="61" spans="2:15" ht="15.6" customHeight="1">
      <c r="B61" s="419"/>
      <c r="D61" s="460"/>
      <c r="E61" s="460"/>
      <c r="F61" s="464"/>
      <c r="I61" s="455"/>
      <c r="L61" s="427"/>
      <c r="M61" s="460"/>
      <c r="N61" s="460"/>
      <c r="O61" s="461"/>
    </row>
    <row r="62" spans="2:15" ht="15.6" customHeight="1">
      <c r="B62" s="457" t="str">
        <f>B83</f>
        <v>ALPS-咪估</v>
      </c>
      <c r="C62" s="448"/>
      <c r="D62" s="456"/>
      <c r="E62" s="461"/>
      <c r="F62" s="464"/>
      <c r="I62" s="455"/>
      <c r="K62" s="455"/>
      <c r="L62" s="427"/>
      <c r="M62" s="460"/>
      <c r="N62" s="460"/>
      <c r="O62" s="461"/>
    </row>
    <row r="63" spans="2:15" ht="15.6" customHeight="1">
      <c r="B63" s="419"/>
      <c r="C63" s="449" t="s">
        <v>552</v>
      </c>
      <c r="D63" s="479"/>
      <c r="E63" s="460"/>
      <c r="F63" s="464"/>
      <c r="G63" s="454"/>
      <c r="K63" s="455"/>
      <c r="L63" s="427"/>
      <c r="M63" s="456"/>
      <c r="N63" s="461"/>
      <c r="O63" s="461"/>
    </row>
    <row r="64" spans="2:15" ht="15.6" customHeight="1">
      <c r="B64" s="453"/>
      <c r="C64" s="451" t="s">
        <v>553</v>
      </c>
      <c r="D64" s="452" t="str">
        <f>B65</f>
        <v>ALPS Handshake</v>
      </c>
      <c r="E64" s="453"/>
      <c r="F64" s="464"/>
      <c r="J64" s="453"/>
      <c r="K64" s="455"/>
      <c r="L64" s="456"/>
      <c r="M64" s="460"/>
      <c r="N64" s="460"/>
      <c r="O64" s="461"/>
    </row>
    <row r="65" spans="2:15" ht="15.6" customHeight="1">
      <c r="B65" s="411" t="str">
        <f>男子賽程!S25</f>
        <v>ALPS Handshake</v>
      </c>
      <c r="C65" s="458" t="s">
        <v>106</v>
      </c>
      <c r="D65" s="449"/>
      <c r="E65" s="478"/>
      <c r="F65" s="475" t="str">
        <f>D69</f>
        <v>仁濟-ALPS</v>
      </c>
      <c r="H65" s="452" t="str">
        <f>F30</f>
        <v>SCAA - 龖</v>
      </c>
      <c r="I65" s="483"/>
      <c r="J65" s="453"/>
      <c r="L65" s="427"/>
      <c r="M65" s="460"/>
      <c r="N65" s="460"/>
      <c r="O65" s="461"/>
    </row>
    <row r="66" spans="2:15" ht="15.6" customHeight="1">
      <c r="D66" s="449" t="s">
        <v>554</v>
      </c>
      <c r="E66" s="460"/>
      <c r="F66" s="453"/>
      <c r="H66" s="473"/>
      <c r="J66" s="453"/>
      <c r="K66" s="455"/>
      <c r="L66" s="427"/>
      <c r="M66" s="456"/>
      <c r="N66" s="460"/>
      <c r="O66" s="461"/>
    </row>
    <row r="67" spans="2:15" ht="15.6" customHeight="1">
      <c r="B67" s="450"/>
      <c r="D67" s="451" t="s">
        <v>555</v>
      </c>
      <c r="E67" s="460"/>
      <c r="F67" s="453"/>
      <c r="H67" s="492" t="s">
        <v>556</v>
      </c>
      <c r="I67" s="456"/>
      <c r="J67" s="453"/>
      <c r="K67" s="455"/>
      <c r="L67" s="427"/>
      <c r="M67" s="460"/>
      <c r="N67" s="460"/>
      <c r="O67" s="461"/>
    </row>
    <row r="68" spans="2:15" ht="15.6" customHeight="1">
      <c r="B68" s="493" t="str">
        <f>B80</f>
        <v>ALPS 大埔</v>
      </c>
      <c r="C68" s="448"/>
      <c r="D68" s="464"/>
      <c r="E68" s="460"/>
      <c r="F68" s="453"/>
      <c r="H68" s="474" t="s">
        <v>557</v>
      </c>
      <c r="I68" s="494"/>
      <c r="J68" s="452" t="str">
        <f>H71</f>
        <v>ALPS-TANGWO</v>
      </c>
      <c r="K68" s="483"/>
      <c r="L68" s="427"/>
      <c r="M68" s="460"/>
      <c r="N68" s="460"/>
      <c r="O68" s="461"/>
    </row>
    <row r="69" spans="2:15" ht="15.6" customHeight="1">
      <c r="B69" s="466"/>
      <c r="C69" s="449" t="s">
        <v>558</v>
      </c>
      <c r="D69" s="475" t="str">
        <f>B71</f>
        <v>仁濟-ALPS</v>
      </c>
      <c r="E69" s="460"/>
      <c r="F69" s="453"/>
      <c r="H69" s="474" t="s">
        <v>1265</v>
      </c>
      <c r="J69" s="453"/>
      <c r="L69" s="427"/>
      <c r="M69" s="460"/>
      <c r="N69" s="460"/>
      <c r="O69" s="461"/>
    </row>
    <row r="70" spans="2:15" ht="15.6" customHeight="1">
      <c r="C70" s="451" t="s">
        <v>559</v>
      </c>
      <c r="D70" s="460"/>
      <c r="E70" s="453"/>
      <c r="F70" s="453"/>
      <c r="H70" s="474"/>
      <c r="J70" s="453"/>
      <c r="L70" s="456"/>
      <c r="M70" s="460"/>
      <c r="N70" s="460"/>
      <c r="O70" s="461"/>
    </row>
    <row r="71" spans="2:15" ht="15.6" customHeight="1">
      <c r="B71" s="411" t="str">
        <f>男子賽程!Z7</f>
        <v>仁濟-ALPS</v>
      </c>
      <c r="C71" s="458" t="s">
        <v>76</v>
      </c>
      <c r="D71" s="456"/>
      <c r="E71" s="461"/>
      <c r="F71" s="460"/>
      <c r="G71" s="495"/>
      <c r="H71" s="475" t="str">
        <f>F54</f>
        <v>ALPS-TANGWO</v>
      </c>
      <c r="L71" s="427"/>
      <c r="M71" s="460"/>
      <c r="N71" s="460"/>
      <c r="O71" s="461"/>
    </row>
    <row r="72" spans="2:15" ht="15.6" customHeight="1">
      <c r="B72" s="419"/>
      <c r="K72" s="419"/>
      <c r="L72" s="427"/>
      <c r="M72" s="456"/>
      <c r="N72" s="455"/>
      <c r="O72" s="461"/>
    </row>
    <row r="73" spans="2:15" ht="15.6" customHeight="1">
      <c r="B73" s="419"/>
      <c r="L73" s="427"/>
      <c r="M73" s="460"/>
      <c r="N73" s="468"/>
      <c r="O73" s="427"/>
    </row>
    <row r="74" spans="2:15" ht="15.6" customHeight="1">
      <c r="B74" s="419"/>
      <c r="L74" s="427"/>
      <c r="M74" s="427"/>
      <c r="N74" s="427"/>
      <c r="O74" s="427"/>
    </row>
    <row r="75" spans="2:15" ht="15.6" customHeight="1">
      <c r="B75" s="419"/>
      <c r="L75" s="427"/>
      <c r="M75" s="427"/>
    </row>
    <row r="76" spans="2:15" ht="15.6" customHeight="1">
      <c r="B76" s="457" t="str">
        <f>男子賽程!S8</f>
        <v>BALLMING</v>
      </c>
      <c r="C76" s="411" t="s">
        <v>160</v>
      </c>
      <c r="E76" s="193" t="s">
        <v>560</v>
      </c>
      <c r="F76" s="105" t="s">
        <v>561</v>
      </c>
      <c r="L76" s="427"/>
      <c r="M76" s="427"/>
    </row>
    <row r="77" spans="2:15" ht="15.6" customHeight="1">
      <c r="B77" s="457" t="str">
        <f>男子賽程!Z8</f>
        <v>我要買G63</v>
      </c>
      <c r="C77" s="411" t="s">
        <v>154</v>
      </c>
      <c r="E77" s="193" t="s">
        <v>562</v>
      </c>
      <c r="F77" s="105" t="s">
        <v>563</v>
      </c>
      <c r="L77" s="427"/>
      <c r="M77" s="427"/>
    </row>
    <row r="78" spans="2:15" ht="15.6" customHeight="1">
      <c r="B78" s="497" t="s">
        <v>564</v>
      </c>
      <c r="C78" s="411" t="s">
        <v>148</v>
      </c>
      <c r="E78" s="193" t="s">
        <v>565</v>
      </c>
      <c r="F78" s="105" t="s">
        <v>566</v>
      </c>
      <c r="L78" s="427"/>
      <c r="M78" s="427"/>
    </row>
    <row r="79" spans="2:15" ht="15.6" customHeight="1">
      <c r="B79" s="457" t="s">
        <v>83</v>
      </c>
      <c r="C79" s="411" t="s">
        <v>142</v>
      </c>
      <c r="E79" s="193" t="s">
        <v>567</v>
      </c>
      <c r="F79" s="105" t="s">
        <v>568</v>
      </c>
      <c r="L79" s="427"/>
      <c r="M79" s="427"/>
    </row>
    <row r="80" spans="2:15" ht="15.6" customHeight="1">
      <c r="B80" s="457" t="str">
        <f>男子賽程!S20</f>
        <v>ALPS 大埔</v>
      </c>
      <c r="C80" s="411" t="s">
        <v>136</v>
      </c>
      <c r="E80" s="193" t="s">
        <v>569</v>
      </c>
      <c r="F80" s="105" t="s">
        <v>570</v>
      </c>
      <c r="L80" s="427"/>
      <c r="M80" s="427"/>
    </row>
    <row r="81" spans="2:13" ht="15.6" customHeight="1">
      <c r="B81" s="457" t="str">
        <f>男子賽程!Z20</f>
        <v>ALPS-Brazil</v>
      </c>
      <c r="C81" s="411" t="s">
        <v>130</v>
      </c>
      <c r="E81" s="193" t="s">
        <v>571</v>
      </c>
      <c r="F81" s="105" t="s">
        <v>572</v>
      </c>
      <c r="L81" s="427"/>
      <c r="M81" s="427"/>
    </row>
    <row r="82" spans="2:13" ht="15.6" customHeight="1">
      <c r="B82" s="457" t="str">
        <f>男子賽程!S26</f>
        <v xml:space="preserve">Sunflower </v>
      </c>
      <c r="C82" s="411" t="s">
        <v>124</v>
      </c>
      <c r="E82" s="193" t="s">
        <v>575</v>
      </c>
      <c r="F82" s="105" t="s">
        <v>576</v>
      </c>
      <c r="L82" s="427"/>
      <c r="M82" s="427"/>
    </row>
    <row r="83" spans="2:13" ht="15.6" customHeight="1">
      <c r="B83" s="457" t="str">
        <f>男子賽程!Z26</f>
        <v>ALPS-咪估</v>
      </c>
      <c r="C83" s="411" t="s">
        <v>118</v>
      </c>
      <c r="E83" s="193" t="s">
        <v>579</v>
      </c>
      <c r="F83" s="105" t="s">
        <v>580</v>
      </c>
      <c r="L83" s="427"/>
      <c r="M83" s="427"/>
    </row>
    <row r="84" spans="2:13" ht="15.6" customHeight="1">
      <c r="B84" s="419"/>
      <c r="C84" s="498"/>
      <c r="D84" s="499"/>
      <c r="E84" s="193" t="s">
        <v>582</v>
      </c>
      <c r="F84" s="108" t="s">
        <v>583</v>
      </c>
      <c r="H84" s="496"/>
      <c r="I84" s="447"/>
      <c r="K84" s="447"/>
      <c r="L84" s="427"/>
      <c r="M84" s="427"/>
    </row>
    <row r="85" spans="2:13" ht="15.6" customHeight="1">
      <c r="B85" s="419"/>
      <c r="C85" s="456"/>
      <c r="D85" s="499"/>
      <c r="E85" s="496"/>
      <c r="H85" s="496"/>
      <c r="I85" s="447"/>
      <c r="K85" s="447"/>
      <c r="L85" s="427"/>
      <c r="M85" s="427"/>
    </row>
    <row r="86" spans="2:13" ht="15.6" customHeight="1">
      <c r="B86" s="419"/>
      <c r="C86" s="486"/>
      <c r="D86" s="499"/>
      <c r="E86" s="496"/>
      <c r="H86" s="496"/>
      <c r="I86" s="447"/>
      <c r="K86" s="447"/>
      <c r="L86" s="427"/>
      <c r="M86" s="427"/>
    </row>
    <row r="87" spans="2:13" ht="15.6" customHeight="1">
      <c r="B87" s="419"/>
      <c r="C87" s="498"/>
      <c r="D87" s="499"/>
      <c r="E87" s="496"/>
      <c r="H87" s="496"/>
      <c r="I87" s="447"/>
      <c r="K87" s="447"/>
      <c r="L87" s="427"/>
      <c r="M87" s="427"/>
    </row>
    <row r="88" spans="2:13" ht="15.6" customHeight="1">
      <c r="B88" s="419"/>
      <c r="C88" s="498"/>
      <c r="D88" s="499"/>
      <c r="E88" s="496"/>
      <c r="H88" s="496"/>
      <c r="I88" s="447"/>
      <c r="K88" s="447"/>
      <c r="L88" s="427"/>
      <c r="M88" s="427"/>
    </row>
    <row r="89" spans="2:13" ht="15.6" customHeight="1">
      <c r="B89" s="419"/>
      <c r="C89" s="498"/>
      <c r="D89" s="499"/>
      <c r="E89" s="496"/>
      <c r="H89" s="496"/>
      <c r="I89" s="447"/>
      <c r="K89" s="447"/>
      <c r="L89" s="427"/>
      <c r="M89" s="427"/>
    </row>
    <row r="90" spans="2:13" ht="15.6" customHeight="1">
      <c r="B90" s="419"/>
      <c r="C90" s="498"/>
      <c r="D90" s="499"/>
      <c r="E90" s="496"/>
      <c r="H90" s="496"/>
      <c r="I90" s="447"/>
      <c r="K90" s="447"/>
      <c r="L90" s="427"/>
      <c r="M90" s="427"/>
    </row>
    <row r="91" spans="2:13" ht="15.6" customHeight="1">
      <c r="B91" s="419"/>
      <c r="C91" s="498"/>
      <c r="D91" s="499"/>
      <c r="E91" s="496"/>
      <c r="H91" s="496"/>
      <c r="I91" s="447"/>
      <c r="K91" s="447"/>
      <c r="L91" s="427"/>
      <c r="M91" s="427"/>
    </row>
    <row r="92" spans="2:13" ht="15.6" customHeight="1">
      <c r="B92" s="419"/>
      <c r="C92" s="456"/>
      <c r="D92" s="460"/>
      <c r="E92" s="496"/>
      <c r="H92" s="496"/>
      <c r="I92" s="447"/>
      <c r="K92" s="447"/>
      <c r="L92" s="427"/>
      <c r="M92" s="427"/>
    </row>
    <row r="93" spans="2:13" ht="15.6" customHeight="1">
      <c r="B93" s="419"/>
      <c r="C93" s="486"/>
      <c r="D93" s="460"/>
      <c r="H93" s="496"/>
      <c r="I93" s="447"/>
      <c r="K93" s="447"/>
      <c r="L93" s="427"/>
      <c r="M93" s="427"/>
    </row>
    <row r="94" spans="2:13" ht="15.6" customHeight="1">
      <c r="B94" s="419"/>
      <c r="C94" s="498"/>
      <c r="D94" s="456"/>
      <c r="H94" s="496"/>
      <c r="I94" s="447"/>
      <c r="K94" s="447"/>
      <c r="L94" s="427"/>
      <c r="M94" s="427"/>
    </row>
    <row r="95" spans="2:13" ht="15.6" customHeight="1">
      <c r="B95" s="419"/>
      <c r="C95" s="498"/>
      <c r="D95" s="499"/>
      <c r="E95" s="460"/>
      <c r="F95" s="460"/>
      <c r="H95" s="496"/>
      <c r="I95" s="447"/>
      <c r="K95" s="447"/>
      <c r="L95" s="427"/>
      <c r="M95" s="427"/>
    </row>
    <row r="96" spans="2:13">
      <c r="B96" s="419"/>
      <c r="C96" s="498"/>
      <c r="D96" s="484"/>
      <c r="E96" s="460"/>
      <c r="F96" s="460"/>
      <c r="H96" s="496"/>
      <c r="I96" s="447"/>
      <c r="K96" s="447"/>
      <c r="L96" s="427"/>
      <c r="M96" s="427"/>
    </row>
    <row r="97" spans="2:13">
      <c r="B97" s="419"/>
      <c r="C97" s="498"/>
      <c r="D97" s="456"/>
      <c r="E97" s="460"/>
      <c r="F97" s="468"/>
      <c r="I97" s="447"/>
      <c r="K97" s="447"/>
      <c r="L97" s="427"/>
      <c r="M97" s="427"/>
    </row>
    <row r="98" spans="2:13">
      <c r="B98" s="419"/>
      <c r="C98" s="456"/>
      <c r="D98" s="456"/>
      <c r="E98" s="460"/>
      <c r="F98" s="468"/>
      <c r="L98" s="427"/>
      <c r="M98" s="427"/>
    </row>
    <row r="99" spans="2:13">
      <c r="B99" s="419"/>
      <c r="C99" s="486"/>
      <c r="D99" s="456"/>
      <c r="E99" s="460"/>
      <c r="F99" s="468"/>
      <c r="L99" s="427"/>
      <c r="M99" s="427"/>
    </row>
    <row r="100" spans="2:13">
      <c r="B100" s="419"/>
      <c r="C100" s="498"/>
      <c r="D100" s="486"/>
      <c r="E100" s="496"/>
      <c r="H100" s="496"/>
      <c r="I100" s="447"/>
      <c r="K100" s="447"/>
      <c r="L100" s="427"/>
      <c r="M100" s="427"/>
    </row>
    <row r="101" spans="2:13">
      <c r="B101" s="419"/>
      <c r="C101" s="498"/>
      <c r="D101" s="460"/>
      <c r="H101" s="496"/>
      <c r="I101" s="447"/>
      <c r="K101" s="447"/>
      <c r="L101" s="427"/>
      <c r="M101" s="427"/>
    </row>
    <row r="102" spans="2:13">
      <c r="B102" s="419"/>
      <c r="C102" s="498"/>
      <c r="D102" s="468"/>
      <c r="E102" s="460"/>
      <c r="F102" s="460"/>
      <c r="I102" s="447"/>
      <c r="K102" s="447"/>
      <c r="L102" s="427"/>
      <c r="M102" s="427"/>
    </row>
    <row r="103" spans="2:13">
      <c r="B103" s="419"/>
      <c r="C103" s="498"/>
      <c r="D103" s="499"/>
      <c r="E103" s="460"/>
      <c r="F103" s="460"/>
      <c r="I103" s="447"/>
      <c r="K103" s="447"/>
      <c r="L103" s="427"/>
      <c r="M103" s="427"/>
    </row>
    <row r="104" spans="2:13">
      <c r="B104" s="419"/>
      <c r="C104" s="456"/>
      <c r="D104" s="456"/>
      <c r="E104" s="461"/>
      <c r="F104" s="460"/>
      <c r="I104" s="447"/>
      <c r="K104" s="447"/>
      <c r="L104" s="427"/>
      <c r="M104" s="427"/>
    </row>
    <row r="105" spans="2:13">
      <c r="B105" s="419"/>
      <c r="C105" s="486"/>
      <c r="D105" s="460"/>
      <c r="E105" s="460"/>
      <c r="F105" s="460"/>
      <c r="L105" s="427"/>
      <c r="M105" s="427"/>
    </row>
    <row r="106" spans="2:13">
      <c r="B106" s="419"/>
      <c r="C106" s="498"/>
      <c r="D106" s="460"/>
      <c r="E106" s="468"/>
      <c r="F106" s="460"/>
      <c r="I106" s="447"/>
      <c r="K106" s="447"/>
      <c r="L106" s="427"/>
      <c r="M106" s="427"/>
    </row>
    <row r="107" spans="2:13">
      <c r="B107" s="460"/>
      <c r="C107" s="498"/>
      <c r="D107" s="427"/>
      <c r="E107" s="427"/>
      <c r="F107" s="419"/>
      <c r="I107" s="447"/>
      <c r="K107" s="447"/>
      <c r="L107" s="427"/>
      <c r="M107" s="427"/>
    </row>
    <row r="108" spans="2:13">
      <c r="B108" s="419"/>
      <c r="C108" s="498"/>
      <c r="D108" s="500"/>
      <c r="E108" s="496"/>
      <c r="F108" s="419"/>
      <c r="I108" s="447"/>
      <c r="K108" s="447"/>
      <c r="L108" s="427"/>
      <c r="M108" s="427"/>
    </row>
    <row r="109" spans="2:13">
      <c r="B109" s="419"/>
      <c r="C109" s="498"/>
      <c r="D109" s="468"/>
      <c r="E109" s="460"/>
      <c r="F109" s="460"/>
      <c r="I109" s="447"/>
      <c r="K109" s="447"/>
      <c r="L109" s="427"/>
      <c r="M109" s="427"/>
    </row>
    <row r="110" spans="2:13">
      <c r="B110" s="460"/>
      <c r="C110" s="456"/>
      <c r="D110" s="460"/>
      <c r="E110" s="460"/>
      <c r="F110" s="468"/>
      <c r="I110" s="447"/>
      <c r="K110" s="447"/>
      <c r="L110" s="427"/>
      <c r="M110" s="427"/>
    </row>
    <row r="111" spans="2:13">
      <c r="B111" s="460"/>
      <c r="C111" s="486"/>
      <c r="D111" s="456"/>
      <c r="E111" s="461"/>
      <c r="F111" s="468"/>
      <c r="I111" s="447"/>
      <c r="K111" s="447"/>
      <c r="L111" s="427"/>
      <c r="M111" s="427"/>
    </row>
    <row r="112" spans="2:13">
      <c r="B112" s="419"/>
      <c r="C112" s="498"/>
      <c r="D112" s="486"/>
      <c r="E112" s="461"/>
      <c r="F112" s="460"/>
      <c r="I112" s="447"/>
      <c r="K112" s="447"/>
      <c r="L112" s="427"/>
      <c r="M112" s="427"/>
    </row>
    <row r="113" spans="2:13">
      <c r="B113" s="460"/>
      <c r="C113" s="498"/>
      <c r="D113" s="486"/>
      <c r="E113" s="460"/>
      <c r="F113" s="460"/>
      <c r="I113" s="447"/>
      <c r="K113" s="447"/>
      <c r="L113" s="501"/>
      <c r="M113" s="461"/>
    </row>
    <row r="114" spans="2:13">
      <c r="B114" s="460"/>
      <c r="C114" s="498"/>
      <c r="D114" s="468"/>
      <c r="E114" s="468"/>
      <c r="F114" s="460"/>
      <c r="I114" s="447"/>
      <c r="K114" s="447"/>
      <c r="L114" s="501"/>
      <c r="M114" s="461"/>
    </row>
    <row r="115" spans="2:13">
      <c r="B115" s="419"/>
      <c r="C115" s="498"/>
      <c r="D115" s="499"/>
      <c r="E115" s="496"/>
      <c r="F115" s="419"/>
      <c r="I115" s="447"/>
      <c r="K115" s="447"/>
      <c r="L115" s="501"/>
      <c r="M115" s="461"/>
    </row>
    <row r="116" spans="2:13">
      <c r="B116" s="419"/>
      <c r="C116" s="456"/>
      <c r="D116" s="460"/>
      <c r="E116" s="456"/>
      <c r="F116" s="456"/>
      <c r="I116" s="447"/>
      <c r="K116" s="447"/>
      <c r="L116" s="501"/>
      <c r="M116" s="461"/>
    </row>
    <row r="117" spans="2:13">
      <c r="B117" s="419"/>
      <c r="C117" s="486"/>
      <c r="D117" s="460"/>
      <c r="E117" s="460"/>
      <c r="F117" s="486"/>
      <c r="H117" s="460"/>
      <c r="I117" s="460"/>
      <c r="K117" s="447"/>
      <c r="L117" s="501"/>
      <c r="M117" s="461"/>
    </row>
    <row r="118" spans="2:13">
      <c r="B118" s="502"/>
      <c r="C118" s="498"/>
      <c r="D118" s="460"/>
      <c r="E118" s="460"/>
      <c r="F118" s="460"/>
      <c r="H118" s="419"/>
      <c r="I118" s="461"/>
      <c r="K118" s="447"/>
      <c r="L118" s="501"/>
      <c r="M118" s="461"/>
    </row>
    <row r="119" spans="2:13">
      <c r="B119" s="419"/>
      <c r="C119" s="427"/>
      <c r="D119" s="456"/>
      <c r="E119" s="461"/>
      <c r="F119" s="460"/>
      <c r="G119" s="503"/>
      <c r="L119" s="501"/>
      <c r="M119" s="461"/>
    </row>
    <row r="120" spans="2:13">
      <c r="B120" s="419"/>
      <c r="C120" s="427"/>
      <c r="D120" s="499"/>
      <c r="E120" s="460"/>
      <c r="F120" s="460"/>
      <c r="G120" s="479"/>
      <c r="H120" s="419"/>
      <c r="I120" s="427"/>
      <c r="J120" s="484"/>
      <c r="K120" s="498"/>
      <c r="L120" s="501"/>
      <c r="M120" s="461"/>
    </row>
    <row r="121" spans="2:13">
      <c r="B121" s="419"/>
      <c r="C121" s="427"/>
      <c r="D121" s="468"/>
      <c r="E121" s="460"/>
      <c r="F121" s="460"/>
      <c r="G121" s="503"/>
      <c r="H121" s="484"/>
      <c r="I121" s="427"/>
      <c r="J121" s="484"/>
      <c r="K121" s="498"/>
      <c r="L121" s="427"/>
      <c r="M121" s="427"/>
    </row>
    <row r="122" spans="2:13">
      <c r="B122" s="419"/>
      <c r="C122" s="427"/>
      <c r="D122" s="456"/>
      <c r="E122" s="460"/>
      <c r="F122" s="468"/>
      <c r="G122" s="503"/>
      <c r="H122" s="419"/>
      <c r="I122" s="427"/>
      <c r="J122" s="484"/>
      <c r="K122" s="498"/>
      <c r="L122" s="427"/>
      <c r="M122" s="427"/>
    </row>
    <row r="123" spans="2:13">
      <c r="B123" s="419"/>
      <c r="C123" s="427"/>
      <c r="D123" s="456"/>
      <c r="E123" s="460"/>
      <c r="F123" s="468"/>
      <c r="G123" s="503"/>
      <c r="H123" s="419"/>
      <c r="I123" s="427"/>
      <c r="J123" s="484"/>
      <c r="K123" s="498"/>
      <c r="L123" s="427"/>
      <c r="M123" s="427"/>
    </row>
    <row r="124" spans="2:13">
      <c r="B124" s="419"/>
      <c r="C124" s="427"/>
      <c r="D124" s="486"/>
      <c r="E124" s="460"/>
      <c r="F124" s="460"/>
      <c r="G124" s="503"/>
      <c r="H124" s="419"/>
      <c r="I124" s="427"/>
      <c r="J124" s="484"/>
      <c r="K124" s="498"/>
      <c r="L124" s="427"/>
      <c r="M124" s="427"/>
    </row>
    <row r="125" spans="2:13">
      <c r="B125" s="419"/>
      <c r="C125" s="427"/>
      <c r="D125" s="460"/>
      <c r="E125" s="460"/>
      <c r="F125" s="460"/>
      <c r="G125" s="503"/>
      <c r="H125" s="419"/>
      <c r="I125" s="427"/>
      <c r="J125" s="484"/>
      <c r="K125" s="498"/>
      <c r="L125" s="427"/>
      <c r="M125" s="427"/>
    </row>
    <row r="126" spans="2:13">
      <c r="B126" s="419"/>
      <c r="C126" s="427"/>
      <c r="D126" s="468"/>
      <c r="E126" s="460"/>
      <c r="F126" s="460"/>
      <c r="G126" s="503"/>
      <c r="H126" s="419"/>
      <c r="I126" s="427"/>
      <c r="J126" s="484"/>
      <c r="K126" s="498"/>
      <c r="L126" s="427"/>
      <c r="M126" s="427"/>
    </row>
    <row r="127" spans="2:13">
      <c r="B127" s="419"/>
      <c r="C127" s="427"/>
      <c r="D127" s="499"/>
      <c r="E127" s="460"/>
      <c r="F127" s="460"/>
      <c r="G127" s="503"/>
      <c r="H127" s="419"/>
      <c r="I127" s="427"/>
      <c r="J127" s="484"/>
      <c r="K127" s="498"/>
      <c r="L127" s="427"/>
      <c r="M127" s="427"/>
    </row>
    <row r="128" spans="2:13">
      <c r="B128" s="419"/>
      <c r="C128" s="427"/>
      <c r="D128" s="456"/>
      <c r="E128" s="461"/>
      <c r="F128" s="460"/>
      <c r="G128" s="479"/>
      <c r="H128" s="419"/>
      <c r="I128" s="427"/>
      <c r="J128" s="484"/>
      <c r="K128" s="498"/>
      <c r="L128" s="427"/>
      <c r="M128" s="427"/>
    </row>
    <row r="129" spans="2:13">
      <c r="B129" s="419"/>
      <c r="C129" s="427"/>
      <c r="D129" s="427"/>
      <c r="E129" s="427"/>
      <c r="F129" s="419"/>
      <c r="G129" s="503"/>
      <c r="H129" s="419"/>
      <c r="I129" s="427"/>
      <c r="J129" s="419"/>
      <c r="K129" s="427"/>
      <c r="L129" s="427"/>
      <c r="M129" s="427"/>
    </row>
    <row r="130" spans="2:13">
      <c r="B130" s="419"/>
      <c r="C130" s="427"/>
      <c r="E130" s="427"/>
      <c r="F130" s="419"/>
      <c r="G130" s="503"/>
      <c r="H130" s="419"/>
      <c r="I130" s="427"/>
      <c r="J130" s="419"/>
      <c r="K130" s="427"/>
      <c r="L130" s="427"/>
      <c r="M130" s="427"/>
    </row>
    <row r="131" spans="2:13">
      <c r="B131" s="419"/>
      <c r="C131" s="427"/>
      <c r="E131" s="427"/>
      <c r="F131" s="419"/>
      <c r="G131" s="503"/>
      <c r="H131" s="419"/>
      <c r="I131" s="427"/>
      <c r="J131" s="419"/>
      <c r="K131" s="427"/>
      <c r="L131" s="427"/>
      <c r="M131" s="427"/>
    </row>
    <row r="132" spans="2:13">
      <c r="B132" s="419"/>
      <c r="C132" s="427"/>
      <c r="E132" s="427"/>
      <c r="F132" s="419"/>
      <c r="G132" s="503"/>
      <c r="H132" s="419"/>
      <c r="I132" s="427"/>
      <c r="J132" s="419"/>
      <c r="K132" s="427"/>
      <c r="L132" s="427"/>
      <c r="M132" s="427"/>
    </row>
    <row r="133" spans="2:13">
      <c r="B133" s="419"/>
      <c r="C133" s="427"/>
      <c r="E133" s="427"/>
      <c r="F133" s="419"/>
      <c r="G133" s="503"/>
      <c r="H133" s="419"/>
      <c r="I133" s="427"/>
      <c r="J133" s="419"/>
      <c r="K133" s="427"/>
      <c r="L133" s="427"/>
      <c r="M133" s="427"/>
    </row>
    <row r="134" spans="2:13">
      <c r="B134" s="419"/>
      <c r="C134" s="427"/>
      <c r="E134" s="427"/>
      <c r="F134" s="419"/>
      <c r="G134" s="503"/>
      <c r="H134" s="419"/>
      <c r="I134" s="427"/>
      <c r="J134" s="419"/>
      <c r="K134" s="427"/>
      <c r="L134" s="427"/>
      <c r="M134" s="427"/>
    </row>
    <row r="135" spans="2:13">
      <c r="B135" s="419"/>
      <c r="C135" s="427"/>
      <c r="E135" s="427"/>
      <c r="F135" s="419"/>
      <c r="G135" s="503"/>
      <c r="H135" s="419"/>
      <c r="I135" s="427"/>
      <c r="J135" s="419"/>
      <c r="K135" s="427"/>
      <c r="L135" s="427"/>
      <c r="M135" s="427"/>
    </row>
    <row r="136" spans="2:13">
      <c r="B136" s="419"/>
      <c r="C136" s="427"/>
      <c r="E136" s="427"/>
      <c r="F136" s="419"/>
      <c r="G136" s="503"/>
      <c r="H136" s="419"/>
      <c r="I136" s="427"/>
      <c r="J136" s="419"/>
      <c r="K136" s="427"/>
      <c r="L136" s="427"/>
      <c r="M136" s="427"/>
    </row>
    <row r="137" spans="2:13">
      <c r="B137" s="419"/>
      <c r="C137" s="427"/>
      <c r="E137" s="427"/>
      <c r="F137" s="419"/>
      <c r="G137" s="503"/>
      <c r="H137" s="419"/>
      <c r="I137" s="427"/>
      <c r="J137" s="419"/>
      <c r="K137" s="427"/>
      <c r="L137" s="427"/>
      <c r="M137" s="427"/>
    </row>
    <row r="138" spans="2:13">
      <c r="B138" s="419"/>
      <c r="C138" s="427"/>
      <c r="E138" s="427"/>
      <c r="F138" s="419"/>
      <c r="G138" s="503"/>
      <c r="H138" s="419"/>
      <c r="I138" s="427"/>
      <c r="J138" s="419"/>
      <c r="K138" s="427"/>
      <c r="L138" s="427"/>
      <c r="M138" s="427"/>
    </row>
    <row r="139" spans="2:13">
      <c r="B139" s="419"/>
      <c r="C139" s="427"/>
      <c r="E139" s="427"/>
      <c r="F139" s="419"/>
      <c r="G139" s="503"/>
      <c r="H139" s="419"/>
      <c r="I139" s="427"/>
      <c r="J139" s="419"/>
      <c r="K139" s="427"/>
      <c r="L139" s="427"/>
      <c r="M139" s="427"/>
    </row>
    <row r="140" spans="2:13">
      <c r="B140" s="419"/>
      <c r="C140" s="427"/>
      <c r="E140" s="427"/>
      <c r="F140" s="419"/>
      <c r="G140" s="503"/>
      <c r="H140" s="419"/>
      <c r="I140" s="427"/>
      <c r="J140" s="419"/>
      <c r="K140" s="427"/>
      <c r="L140" s="427"/>
      <c r="M140" s="427"/>
    </row>
    <row r="141" spans="2:13">
      <c r="B141" s="419"/>
      <c r="C141" s="427"/>
      <c r="E141" s="427"/>
      <c r="F141" s="419"/>
      <c r="G141" s="503"/>
      <c r="H141" s="419"/>
      <c r="I141" s="427"/>
      <c r="J141" s="419"/>
      <c r="K141" s="427"/>
      <c r="L141" s="427"/>
      <c r="M141" s="427"/>
    </row>
    <row r="142" spans="2:13">
      <c r="B142" s="419"/>
      <c r="C142" s="427"/>
      <c r="E142" s="427"/>
      <c r="F142" s="419"/>
      <c r="G142" s="503"/>
      <c r="H142" s="419"/>
      <c r="I142" s="427"/>
      <c r="J142" s="419"/>
      <c r="K142" s="427"/>
      <c r="L142" s="427"/>
      <c r="M142" s="427"/>
    </row>
    <row r="143" spans="2:13">
      <c r="B143" s="419"/>
      <c r="C143" s="427"/>
      <c r="E143" s="427"/>
      <c r="F143" s="419"/>
      <c r="G143" s="503"/>
      <c r="H143" s="419"/>
      <c r="I143" s="427"/>
      <c r="J143" s="419"/>
      <c r="K143" s="427"/>
      <c r="L143" s="427"/>
      <c r="M143" s="427"/>
    </row>
    <row r="144" spans="2:13">
      <c r="E144" s="427"/>
      <c r="F144" s="419"/>
      <c r="G144" s="503"/>
      <c r="H144" s="419"/>
      <c r="I144" s="427"/>
      <c r="J144" s="419"/>
      <c r="K144" s="427"/>
      <c r="L144" s="427"/>
      <c r="M144" s="427"/>
    </row>
    <row r="145" spans="5:13">
      <c r="E145" s="427"/>
      <c r="F145" s="419"/>
      <c r="G145" s="503"/>
      <c r="H145" s="419"/>
      <c r="I145" s="427"/>
      <c r="J145" s="419"/>
      <c r="K145" s="427"/>
      <c r="L145" s="427"/>
      <c r="M145" s="427"/>
    </row>
    <row r="146" spans="5:13">
      <c r="E146" s="427"/>
      <c r="F146" s="419"/>
      <c r="G146" s="503"/>
      <c r="H146" s="419"/>
      <c r="I146" s="427"/>
      <c r="J146" s="419"/>
      <c r="K146" s="427"/>
      <c r="L146" s="427"/>
      <c r="M146" s="427"/>
    </row>
    <row r="147" spans="5:13">
      <c r="E147" s="427"/>
      <c r="F147" s="419"/>
      <c r="G147" s="503"/>
      <c r="H147" s="419"/>
      <c r="I147" s="427"/>
      <c r="J147" s="419"/>
      <c r="K147" s="427"/>
      <c r="L147" s="427"/>
      <c r="M147" s="427"/>
    </row>
    <row r="148" spans="5:13">
      <c r="E148" s="427"/>
      <c r="F148" s="419"/>
      <c r="G148" s="503"/>
      <c r="H148" s="419"/>
      <c r="I148" s="427"/>
      <c r="J148" s="419"/>
      <c r="K148" s="427"/>
      <c r="L148" s="427"/>
      <c r="M148" s="427"/>
    </row>
    <row r="149" spans="5:13">
      <c r="E149" s="427"/>
      <c r="F149" s="419"/>
      <c r="G149" s="503"/>
      <c r="H149" s="419"/>
      <c r="I149" s="427"/>
      <c r="J149" s="419"/>
      <c r="K149" s="427"/>
      <c r="L149" s="427"/>
      <c r="M149" s="427"/>
    </row>
    <row r="150" spans="5:13">
      <c r="E150" s="427"/>
      <c r="F150" s="419"/>
      <c r="G150" s="503"/>
      <c r="H150" s="419"/>
      <c r="I150" s="427"/>
      <c r="J150" s="419"/>
      <c r="K150" s="427"/>
      <c r="L150" s="427"/>
      <c r="M150" s="427"/>
    </row>
    <row r="151" spans="5:13">
      <c r="E151" s="427"/>
      <c r="F151" s="419"/>
      <c r="G151" s="503"/>
      <c r="H151" s="419"/>
      <c r="I151" s="427"/>
      <c r="J151" s="419"/>
      <c r="K151" s="427"/>
      <c r="L151" s="427"/>
      <c r="M151" s="427"/>
    </row>
    <row r="152" spans="5:13">
      <c r="E152" s="427"/>
      <c r="F152" s="419"/>
      <c r="G152" s="503"/>
      <c r="H152" s="419"/>
      <c r="I152" s="427"/>
      <c r="J152" s="419"/>
      <c r="K152" s="427"/>
      <c r="L152" s="427"/>
      <c r="M152" s="427"/>
    </row>
    <row r="153" spans="5:13">
      <c r="E153" s="427"/>
      <c r="F153" s="419"/>
      <c r="G153" s="503"/>
      <c r="H153" s="419"/>
      <c r="I153" s="427"/>
      <c r="J153" s="419"/>
      <c r="K153" s="427"/>
      <c r="L153" s="427"/>
      <c r="M153" s="427"/>
    </row>
  </sheetData>
  <pageMargins left="0.35416666666666702" right="0.35416666666666702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55"/>
  <sheetViews>
    <sheetView topLeftCell="B4" zoomScale="80" zoomScaleNormal="80" workbookViewId="0">
      <selection activeCell="L51" sqref="L51"/>
    </sheetView>
  </sheetViews>
  <sheetFormatPr defaultColWidth="7.6640625" defaultRowHeight="17.25"/>
  <cols>
    <col min="1" max="1" width="7.6640625" style="198" hidden="1"/>
    <col min="2" max="2" width="8.109375" style="198" customWidth="1"/>
    <col min="3" max="3" width="6.6640625" style="198" customWidth="1"/>
    <col min="4" max="4" width="8.6640625" style="198" customWidth="1"/>
    <col min="5" max="5" width="13.33203125" style="198" customWidth="1"/>
    <col min="6" max="6" width="4.33203125" style="198" customWidth="1"/>
    <col min="7" max="7" width="13.5546875" style="198" customWidth="1"/>
    <col min="8" max="8" width="21.6640625" style="198" customWidth="1"/>
    <col min="9" max="9" width="2.6640625" style="198" customWidth="1"/>
    <col min="10" max="10" width="21.6640625" style="198" customWidth="1"/>
    <col min="11" max="14" width="7.6640625" style="199"/>
    <col min="15" max="15" width="22" style="200" customWidth="1"/>
    <col min="16" max="16" width="5.77734375" style="200" customWidth="1"/>
    <col min="17" max="17" width="2.77734375" style="200" customWidth="1"/>
    <col min="18" max="18" width="6.77734375" style="198" customWidth="1"/>
    <col min="19" max="19" width="15.77734375" style="198" customWidth="1"/>
    <col min="20" max="22" width="5.33203125" style="198" customWidth="1"/>
    <col min="23" max="23" width="6.77734375" style="198" customWidth="1"/>
    <col min="24" max="24" width="2.77734375" style="198" customWidth="1"/>
    <col min="25" max="25" width="6.77734375" style="198" customWidth="1"/>
    <col min="26" max="26" width="15.77734375" style="198" customWidth="1"/>
    <col min="27" max="29" width="5.33203125" style="198" customWidth="1"/>
    <col min="30" max="30" width="6.77734375" style="198" customWidth="1"/>
    <col min="31" max="1024" width="7.6640625" style="198"/>
  </cols>
  <sheetData>
    <row r="1" spans="2:30" ht="24.75">
      <c r="B1" s="201" t="s">
        <v>589</v>
      </c>
      <c r="C1" s="202"/>
      <c r="D1" s="203"/>
      <c r="E1" s="204"/>
      <c r="F1" s="202"/>
      <c r="G1" s="205"/>
      <c r="H1" s="206"/>
    </row>
    <row r="2" spans="2:30" ht="25.5">
      <c r="B2" s="207" t="s">
        <v>590</v>
      </c>
      <c r="C2" s="202"/>
      <c r="D2" s="203"/>
      <c r="E2" s="204"/>
      <c r="F2" s="202"/>
      <c r="G2" s="205"/>
      <c r="H2" s="208"/>
      <c r="J2" s="209"/>
    </row>
    <row r="3" spans="2:30" ht="20.25">
      <c r="B3" s="202"/>
      <c r="C3" s="210"/>
      <c r="D3" s="211"/>
      <c r="E3" s="211"/>
      <c r="F3" s="212"/>
      <c r="G3" s="213"/>
      <c r="H3" s="214"/>
      <c r="I3" s="214"/>
      <c r="J3" s="214"/>
      <c r="K3" s="199" t="s">
        <v>591</v>
      </c>
      <c r="L3" s="199" t="s">
        <v>592</v>
      </c>
      <c r="M3" s="199" t="s">
        <v>592</v>
      </c>
      <c r="N3" s="199" t="s">
        <v>591</v>
      </c>
    </row>
    <row r="4" spans="2:30">
      <c r="B4" s="215" t="s">
        <v>593</v>
      </c>
      <c r="C4" s="508" t="s">
        <v>594</v>
      </c>
      <c r="D4" s="508"/>
      <c r="E4" s="509" t="s">
        <v>595</v>
      </c>
      <c r="F4" s="509"/>
      <c r="G4" s="509"/>
      <c r="H4" s="216" t="s">
        <v>596</v>
      </c>
      <c r="I4" s="217"/>
      <c r="J4" s="216" t="s">
        <v>597</v>
      </c>
      <c r="K4" s="218"/>
      <c r="L4" s="218"/>
      <c r="M4" s="218"/>
      <c r="N4" s="218"/>
      <c r="O4" s="219"/>
      <c r="P4" s="219"/>
      <c r="Q4" s="219"/>
    </row>
    <row r="5" spans="2:30" ht="16.5" customHeight="1">
      <c r="B5" s="220" t="s">
        <v>598</v>
      </c>
      <c r="C5" s="510" t="s">
        <v>599</v>
      </c>
      <c r="D5" s="510"/>
      <c r="E5" s="511" t="s">
        <v>600</v>
      </c>
      <c r="F5" s="511"/>
      <c r="G5" s="511"/>
      <c r="H5" s="216" t="s">
        <v>50</v>
      </c>
      <c r="I5" s="216"/>
      <c r="J5" s="216" t="s">
        <v>50</v>
      </c>
      <c r="K5" s="218"/>
      <c r="L5" s="218"/>
      <c r="M5" s="218"/>
      <c r="N5" s="218"/>
      <c r="O5" s="2"/>
      <c r="P5" s="219"/>
      <c r="Q5" s="219"/>
    </row>
    <row r="6" spans="2:30">
      <c r="B6" s="221">
        <v>1</v>
      </c>
      <c r="C6" s="222" t="s">
        <v>424</v>
      </c>
      <c r="D6" s="223">
        <v>1</v>
      </c>
      <c r="E6" s="224" t="s">
        <v>70</v>
      </c>
      <c r="F6" s="224" t="s">
        <v>601</v>
      </c>
      <c r="G6" s="224" t="s">
        <v>602</v>
      </c>
      <c r="H6" s="216" t="str">
        <f>VLOOKUP(E6,MD!$C$6:$K$105,3,FALSE())</f>
        <v>2R</v>
      </c>
      <c r="I6" s="216" t="s">
        <v>601</v>
      </c>
      <c r="J6" s="225" t="s">
        <v>603</v>
      </c>
      <c r="K6" s="226">
        <v>2</v>
      </c>
      <c r="L6" s="226">
        <f>21+21</f>
        <v>42</v>
      </c>
      <c r="M6" s="226">
        <f>11+16</f>
        <v>27</v>
      </c>
      <c r="N6" s="226">
        <v>0</v>
      </c>
      <c r="O6" s="227" t="s">
        <v>604</v>
      </c>
      <c r="P6" s="219"/>
      <c r="Q6" s="227" t="s">
        <v>424</v>
      </c>
      <c r="R6" s="228" t="s">
        <v>605</v>
      </c>
      <c r="S6" s="229" t="s">
        <v>49</v>
      </c>
      <c r="T6" s="229" t="s">
        <v>606</v>
      </c>
      <c r="U6" s="229" t="s">
        <v>607</v>
      </c>
      <c r="V6" s="229" t="s">
        <v>608</v>
      </c>
      <c r="W6" s="229" t="s">
        <v>60</v>
      </c>
      <c r="X6" s="230" t="s">
        <v>425</v>
      </c>
      <c r="Y6" s="228" t="s">
        <v>605</v>
      </c>
      <c r="Z6" s="229" t="s">
        <v>49</v>
      </c>
      <c r="AA6" s="229" t="s">
        <v>606</v>
      </c>
      <c r="AB6" s="229" t="s">
        <v>607</v>
      </c>
      <c r="AC6" s="229" t="s">
        <v>608</v>
      </c>
      <c r="AD6" s="229" t="s">
        <v>60</v>
      </c>
    </row>
    <row r="7" spans="2:30">
      <c r="B7" s="231">
        <v>2</v>
      </c>
      <c r="C7" s="232" t="s">
        <v>424</v>
      </c>
      <c r="D7" s="233">
        <v>2</v>
      </c>
      <c r="E7" s="234" t="s">
        <v>160</v>
      </c>
      <c r="F7" s="234" t="s">
        <v>601</v>
      </c>
      <c r="G7" s="234" t="s">
        <v>166</v>
      </c>
      <c r="H7" s="225" t="str">
        <f>VLOOKUP(E7,MD!$C$6:$K$105,3,FALSE())</f>
        <v>熱情的麻鷹</v>
      </c>
      <c r="I7" s="216" t="s">
        <v>601</v>
      </c>
      <c r="J7" s="225" t="str">
        <f>VLOOKUP(G7,MD!$C$6:$K$105,3,FALSE())</f>
        <v>BALLMING</v>
      </c>
      <c r="K7" s="226">
        <v>0</v>
      </c>
      <c r="L7" s="226">
        <f>10+15</f>
        <v>25</v>
      </c>
      <c r="M7" s="226">
        <f>21+21</f>
        <v>42</v>
      </c>
      <c r="N7" s="226">
        <v>2</v>
      </c>
      <c r="O7" s="227" t="s">
        <v>609</v>
      </c>
      <c r="P7" s="219"/>
      <c r="Q7" s="219"/>
      <c r="R7" s="217">
        <v>1</v>
      </c>
      <c r="S7" s="235" t="s">
        <v>65</v>
      </c>
      <c r="T7" s="235">
        <v>3</v>
      </c>
      <c r="U7" s="235">
        <v>0</v>
      </c>
      <c r="V7" s="235">
        <v>0</v>
      </c>
      <c r="W7" s="235">
        <f>T7*3+U7*1</f>
        <v>9</v>
      </c>
      <c r="Y7" s="217">
        <v>1</v>
      </c>
      <c r="Z7" s="236" t="s">
        <v>610</v>
      </c>
      <c r="AA7" s="236">
        <v>2</v>
      </c>
      <c r="AB7" s="236">
        <v>1</v>
      </c>
      <c r="AC7" s="236">
        <v>0</v>
      </c>
      <c r="AD7" s="236">
        <f>AA7*3+AB7*1</f>
        <v>7</v>
      </c>
    </row>
    <row r="8" spans="2:30">
      <c r="B8" s="221">
        <v>3</v>
      </c>
      <c r="C8" s="232" t="s">
        <v>424</v>
      </c>
      <c r="D8" s="233">
        <v>3</v>
      </c>
      <c r="E8" s="234" t="s">
        <v>70</v>
      </c>
      <c r="F8" s="234" t="s">
        <v>601</v>
      </c>
      <c r="G8" s="234" t="s">
        <v>166</v>
      </c>
      <c r="H8" s="225" t="str">
        <f>VLOOKUP(E8,MD!$C$6:$K$105,3,FALSE())</f>
        <v>2R</v>
      </c>
      <c r="I8" s="216" t="s">
        <v>601</v>
      </c>
      <c r="J8" s="225" t="str">
        <f>VLOOKUP(G8,MD!$C$6:$K$105,3,FALSE())</f>
        <v>BALLMING</v>
      </c>
      <c r="K8" s="226">
        <v>2</v>
      </c>
      <c r="L8" s="226">
        <f>21+21</f>
        <v>42</v>
      </c>
      <c r="M8" s="226">
        <f>15+12</f>
        <v>27</v>
      </c>
      <c r="N8" s="226">
        <v>0</v>
      </c>
      <c r="O8" s="227" t="s">
        <v>611</v>
      </c>
      <c r="P8" s="219"/>
      <c r="Q8" s="219"/>
      <c r="R8" s="217">
        <v>2</v>
      </c>
      <c r="S8" s="235" t="s">
        <v>161</v>
      </c>
      <c r="T8" s="236">
        <v>2</v>
      </c>
      <c r="U8" s="236">
        <v>0</v>
      </c>
      <c r="V8" s="236">
        <v>1</v>
      </c>
      <c r="W8" s="236">
        <f>T8*3+U8*1</f>
        <v>6</v>
      </c>
      <c r="Y8" s="217">
        <v>2</v>
      </c>
      <c r="Z8" s="236" t="s">
        <v>612</v>
      </c>
      <c r="AA8" s="236">
        <v>0</v>
      </c>
      <c r="AB8" s="236">
        <v>3</v>
      </c>
      <c r="AC8" s="236">
        <v>0</v>
      </c>
      <c r="AD8" s="236">
        <f>AA8*3+AB8*1</f>
        <v>3</v>
      </c>
    </row>
    <row r="9" spans="2:30">
      <c r="B9" s="231">
        <v>4</v>
      </c>
      <c r="C9" s="232" t="s">
        <v>424</v>
      </c>
      <c r="D9" s="233">
        <v>4</v>
      </c>
      <c r="E9" s="234" t="s">
        <v>160</v>
      </c>
      <c r="F9" s="234" t="s">
        <v>601</v>
      </c>
      <c r="G9" s="234" t="s">
        <v>602</v>
      </c>
      <c r="H9" s="225" t="str">
        <f>VLOOKUP(E9,MD!$C$6:$K$105,3,FALSE())</f>
        <v>熱情的麻鷹</v>
      </c>
      <c r="I9" s="216" t="s">
        <v>601</v>
      </c>
      <c r="J9" s="225" t="s">
        <v>603</v>
      </c>
      <c r="K9" s="226">
        <v>2</v>
      </c>
      <c r="L9" s="226">
        <f>25+22</f>
        <v>47</v>
      </c>
      <c r="M9" s="226">
        <f>23+20</f>
        <v>43</v>
      </c>
      <c r="N9" s="226">
        <v>0</v>
      </c>
      <c r="O9" s="227" t="s">
        <v>613</v>
      </c>
      <c r="P9" s="219"/>
      <c r="Q9" s="219"/>
      <c r="R9" s="217">
        <v>3</v>
      </c>
      <c r="S9" s="236" t="s">
        <v>155</v>
      </c>
      <c r="T9" s="236">
        <v>1</v>
      </c>
      <c r="U9" s="236">
        <v>0</v>
      </c>
      <c r="V9" s="236">
        <v>2</v>
      </c>
      <c r="W9" s="236">
        <f>T9*3+U9*1</f>
        <v>3</v>
      </c>
      <c r="Y9" s="217">
        <v>3</v>
      </c>
      <c r="Z9" s="235" t="s">
        <v>167</v>
      </c>
      <c r="AA9" s="236">
        <v>0</v>
      </c>
      <c r="AB9" s="236">
        <v>2</v>
      </c>
      <c r="AC9" s="236">
        <v>1</v>
      </c>
      <c r="AD9" s="236">
        <f>AA9*3+AB9*1</f>
        <v>2</v>
      </c>
    </row>
    <row r="10" spans="2:30">
      <c r="B10" s="221">
        <v>5</v>
      </c>
      <c r="C10" s="232" t="s">
        <v>424</v>
      </c>
      <c r="D10" s="233">
        <v>5</v>
      </c>
      <c r="E10" s="234" t="s">
        <v>166</v>
      </c>
      <c r="F10" s="234" t="s">
        <v>601</v>
      </c>
      <c r="G10" s="234" t="s">
        <v>602</v>
      </c>
      <c r="H10" s="225" t="str">
        <f>VLOOKUP(E10,MD!$C$6:$K$105,3,FALSE())</f>
        <v>BALLMING</v>
      </c>
      <c r="I10" s="216" t="s">
        <v>601</v>
      </c>
      <c r="J10" s="225" t="s">
        <v>603</v>
      </c>
      <c r="K10" s="226">
        <v>2</v>
      </c>
      <c r="L10" s="226">
        <v>0</v>
      </c>
      <c r="M10" s="226">
        <v>0</v>
      </c>
      <c r="N10" s="226">
        <v>0</v>
      </c>
      <c r="O10" s="219" t="s">
        <v>614</v>
      </c>
      <c r="P10" s="219"/>
      <c r="Q10" s="219"/>
      <c r="R10" s="217">
        <v>4</v>
      </c>
      <c r="S10" s="236" t="s">
        <v>603</v>
      </c>
      <c r="T10" s="236">
        <v>0</v>
      </c>
      <c r="U10" s="236">
        <v>0</v>
      </c>
      <c r="V10" s="236">
        <v>3</v>
      </c>
      <c r="W10" s="236">
        <f>T10*3+U10*1</f>
        <v>0</v>
      </c>
      <c r="Y10" s="217">
        <v>4</v>
      </c>
      <c r="Z10" s="236" t="s">
        <v>581</v>
      </c>
      <c r="AA10" s="236">
        <v>0</v>
      </c>
      <c r="AB10" s="236">
        <v>2</v>
      </c>
      <c r="AC10" s="236">
        <v>1</v>
      </c>
      <c r="AD10" s="236">
        <f>AA10*3+AB10*1</f>
        <v>2</v>
      </c>
    </row>
    <row r="11" spans="2:30">
      <c r="B11" s="231">
        <v>6</v>
      </c>
      <c r="C11" s="237" t="s">
        <v>424</v>
      </c>
      <c r="D11" s="238">
        <v>6</v>
      </c>
      <c r="E11" s="239" t="s">
        <v>70</v>
      </c>
      <c r="F11" s="239" t="s">
        <v>601</v>
      </c>
      <c r="G11" s="239" t="s">
        <v>160</v>
      </c>
      <c r="H11" s="225" t="str">
        <f>VLOOKUP(E11,MD!$C$6:$K$105,3,FALSE())</f>
        <v>2R</v>
      </c>
      <c r="I11" s="216" t="s">
        <v>601</v>
      </c>
      <c r="J11" s="225" t="str">
        <f>VLOOKUP(G11,MD!$C$6:$K$105,3,FALSE())</f>
        <v>熱情的麻鷹</v>
      </c>
      <c r="K11" s="226">
        <v>2</v>
      </c>
      <c r="L11" s="226">
        <f>21+21</f>
        <v>42</v>
      </c>
      <c r="M11" s="226">
        <f>14+14</f>
        <v>28</v>
      </c>
      <c r="N11" s="226">
        <v>0</v>
      </c>
      <c r="O11" s="227" t="s">
        <v>615</v>
      </c>
      <c r="P11" s="219"/>
      <c r="Q11" s="219"/>
      <c r="R11" s="209"/>
      <c r="S11" s="209"/>
      <c r="Y11" s="209"/>
      <c r="Z11" s="209"/>
    </row>
    <row r="12" spans="2:30">
      <c r="B12" s="240">
        <v>7</v>
      </c>
      <c r="C12" s="241" t="s">
        <v>425</v>
      </c>
      <c r="D12" s="223">
        <v>1</v>
      </c>
      <c r="E12" s="224" t="s">
        <v>76</v>
      </c>
      <c r="F12" s="224" t="s">
        <v>601</v>
      </c>
      <c r="G12" s="224" t="s">
        <v>616</v>
      </c>
      <c r="H12" s="225" t="str">
        <f>VLOOKUP(E12,MD!$C$6:$K$105,3,FALSE())</f>
        <v>仁濟-ALPS</v>
      </c>
      <c r="I12" s="216" t="s">
        <v>601</v>
      </c>
      <c r="J12" s="225" t="s">
        <v>264</v>
      </c>
      <c r="K12" s="226">
        <v>2</v>
      </c>
      <c r="L12" s="226">
        <f>21+21</f>
        <v>42</v>
      </c>
      <c r="M12" s="226">
        <f>17+19</f>
        <v>36</v>
      </c>
      <c r="N12" s="226">
        <v>0</v>
      </c>
      <c r="O12" s="227" t="s">
        <v>617</v>
      </c>
      <c r="P12" s="219"/>
      <c r="Q12" s="219"/>
      <c r="R12" s="228" t="s">
        <v>605</v>
      </c>
      <c r="S12" s="229" t="s">
        <v>49</v>
      </c>
      <c r="T12" s="229" t="s">
        <v>606</v>
      </c>
      <c r="U12" s="229" t="s">
        <v>607</v>
      </c>
      <c r="V12" s="229" t="s">
        <v>608</v>
      </c>
      <c r="W12" s="229" t="s">
        <v>60</v>
      </c>
      <c r="Y12" s="228" t="s">
        <v>605</v>
      </c>
      <c r="Z12" s="229" t="s">
        <v>49</v>
      </c>
      <c r="AA12" s="229" t="s">
        <v>606</v>
      </c>
      <c r="AB12" s="229" t="s">
        <v>607</v>
      </c>
      <c r="AC12" s="229" t="s">
        <v>608</v>
      </c>
      <c r="AD12" s="229" t="s">
        <v>60</v>
      </c>
    </row>
    <row r="13" spans="2:30">
      <c r="B13" s="242">
        <v>8</v>
      </c>
      <c r="C13" s="232" t="s">
        <v>425</v>
      </c>
      <c r="D13" s="233">
        <v>2</v>
      </c>
      <c r="E13" s="234" t="s">
        <v>154</v>
      </c>
      <c r="F13" s="234" t="s">
        <v>601</v>
      </c>
      <c r="G13" s="234" t="s">
        <v>172</v>
      </c>
      <c r="H13" s="225" t="str">
        <f>VLOOKUP(E13,MD!$C$6:$K$105,3,FALSE())</f>
        <v>我要買G63</v>
      </c>
      <c r="I13" s="216" t="s">
        <v>601</v>
      </c>
      <c r="J13" s="225" t="str">
        <f>VLOOKUP(G13,MD!$C$6:$K$105,3,FALSE())</f>
        <v>SA</v>
      </c>
      <c r="K13" s="226">
        <v>1</v>
      </c>
      <c r="L13" s="226">
        <f>21+19</f>
        <v>40</v>
      </c>
      <c r="M13" s="226">
        <f>15+21</f>
        <v>36</v>
      </c>
      <c r="N13" s="226">
        <v>1</v>
      </c>
      <c r="O13" s="227" t="s">
        <v>618</v>
      </c>
      <c r="P13" s="219"/>
      <c r="Q13" s="227" t="s">
        <v>426</v>
      </c>
      <c r="R13" s="217">
        <v>1</v>
      </c>
      <c r="S13" s="235" t="s">
        <v>544</v>
      </c>
      <c r="T13" s="236">
        <v>2</v>
      </c>
      <c r="U13" s="236">
        <v>1</v>
      </c>
      <c r="V13" s="236">
        <v>0</v>
      </c>
      <c r="W13" s="236">
        <f>T13*3+U13*1</f>
        <v>7</v>
      </c>
      <c r="X13" s="230" t="s">
        <v>427</v>
      </c>
      <c r="Y13" s="217">
        <v>1</v>
      </c>
      <c r="Z13" s="235" t="s">
        <v>404</v>
      </c>
      <c r="AA13" s="236">
        <v>3</v>
      </c>
      <c r="AB13" s="236">
        <v>0</v>
      </c>
      <c r="AC13" s="236">
        <v>0</v>
      </c>
      <c r="AD13" s="236">
        <f>AA13*3+AB13*1</f>
        <v>9</v>
      </c>
    </row>
    <row r="14" spans="2:30">
      <c r="B14" s="242">
        <v>9</v>
      </c>
      <c r="C14" s="232" t="s">
        <v>425</v>
      </c>
      <c r="D14" s="233">
        <v>3</v>
      </c>
      <c r="E14" s="234" t="s">
        <v>76</v>
      </c>
      <c r="F14" s="234" t="s">
        <v>601</v>
      </c>
      <c r="G14" s="234" t="s">
        <v>172</v>
      </c>
      <c r="H14" s="225" t="str">
        <f>VLOOKUP(E14,MD!$C$6:$K$105,3,FALSE())</f>
        <v>仁濟-ALPS</v>
      </c>
      <c r="I14" s="216" t="s">
        <v>601</v>
      </c>
      <c r="J14" s="225" t="str">
        <f>VLOOKUP(G14,MD!$C$6:$K$105,3,FALSE())</f>
        <v>SA</v>
      </c>
      <c r="K14" s="226">
        <v>2</v>
      </c>
      <c r="L14" s="226">
        <f>21+21</f>
        <v>42</v>
      </c>
      <c r="M14" s="226">
        <f>15+18</f>
        <v>33</v>
      </c>
      <c r="N14" s="226">
        <v>0</v>
      </c>
      <c r="O14" s="243" t="s">
        <v>619</v>
      </c>
      <c r="P14" s="243"/>
      <c r="Q14" s="219"/>
      <c r="R14" s="217">
        <v>2</v>
      </c>
      <c r="S14" s="244" t="s">
        <v>620</v>
      </c>
      <c r="T14" s="236">
        <v>1</v>
      </c>
      <c r="U14" s="236">
        <v>2</v>
      </c>
      <c r="V14" s="236">
        <v>0</v>
      </c>
      <c r="W14" s="236">
        <f>T14*3+U14*1</f>
        <v>5</v>
      </c>
      <c r="Y14" s="217">
        <v>2</v>
      </c>
      <c r="Z14" s="235" t="s">
        <v>83</v>
      </c>
      <c r="AA14" s="236">
        <v>2</v>
      </c>
      <c r="AB14" s="236">
        <v>0</v>
      </c>
      <c r="AC14" s="236">
        <v>1</v>
      </c>
      <c r="AD14" s="236">
        <f>AA14*3+AB14*1</f>
        <v>6</v>
      </c>
    </row>
    <row r="15" spans="2:30">
      <c r="B15" s="242">
        <v>10</v>
      </c>
      <c r="C15" s="232" t="s">
        <v>425</v>
      </c>
      <c r="D15" s="233">
        <v>4</v>
      </c>
      <c r="E15" s="234" t="s">
        <v>154</v>
      </c>
      <c r="F15" s="234" t="s">
        <v>601</v>
      </c>
      <c r="G15" s="234" t="s">
        <v>616</v>
      </c>
      <c r="H15" s="225" t="str">
        <f>VLOOKUP(E15,MD!$C$6:$K$105,3,FALSE())</f>
        <v>我要買G63</v>
      </c>
      <c r="I15" s="216" t="s">
        <v>601</v>
      </c>
      <c r="J15" s="225" t="s">
        <v>264</v>
      </c>
      <c r="K15" s="226">
        <v>1</v>
      </c>
      <c r="L15" s="226">
        <f>16+21</f>
        <v>37</v>
      </c>
      <c r="M15" s="226">
        <f>21+18</f>
        <v>39</v>
      </c>
      <c r="N15" s="226">
        <v>1</v>
      </c>
      <c r="O15" s="227" t="s">
        <v>621</v>
      </c>
      <c r="P15" s="219"/>
      <c r="Q15" s="219"/>
      <c r="R15" s="217">
        <v>3</v>
      </c>
      <c r="S15" s="236" t="s">
        <v>240</v>
      </c>
      <c r="T15" s="236">
        <v>1</v>
      </c>
      <c r="U15" s="236">
        <v>1</v>
      </c>
      <c r="V15" s="236">
        <v>1</v>
      </c>
      <c r="W15" s="236">
        <f>T15*3+U15*1</f>
        <v>4</v>
      </c>
      <c r="Y15" s="217">
        <v>3</v>
      </c>
      <c r="Z15" s="235" t="s">
        <v>137</v>
      </c>
      <c r="AA15" s="236">
        <v>1</v>
      </c>
      <c r="AB15" s="236">
        <v>0</v>
      </c>
      <c r="AC15" s="236">
        <v>2</v>
      </c>
      <c r="AD15" s="236">
        <f>AA15*3+AB15*1</f>
        <v>3</v>
      </c>
    </row>
    <row r="16" spans="2:30">
      <c r="B16" s="240">
        <v>11</v>
      </c>
      <c r="C16" s="232" t="s">
        <v>425</v>
      </c>
      <c r="D16" s="233">
        <v>5</v>
      </c>
      <c r="E16" s="234" t="s">
        <v>172</v>
      </c>
      <c r="F16" s="234" t="s">
        <v>601</v>
      </c>
      <c r="G16" s="234" t="s">
        <v>616</v>
      </c>
      <c r="H16" s="225" t="str">
        <f>VLOOKUP(E16,MD!$C$6:$K$105,3,FALSE())</f>
        <v>SA</v>
      </c>
      <c r="I16" s="216" t="s">
        <v>601</v>
      </c>
      <c r="J16" s="225" t="s">
        <v>264</v>
      </c>
      <c r="K16" s="226">
        <v>1</v>
      </c>
      <c r="L16" s="226">
        <f>21+19</f>
        <v>40</v>
      </c>
      <c r="M16" s="226">
        <f>18+21</f>
        <v>39</v>
      </c>
      <c r="N16" s="226">
        <v>1</v>
      </c>
      <c r="O16" s="227" t="s">
        <v>622</v>
      </c>
      <c r="P16" s="219"/>
      <c r="Q16" s="219"/>
      <c r="R16" s="217">
        <v>4</v>
      </c>
      <c r="S16" s="236" t="s">
        <v>173</v>
      </c>
      <c r="T16" s="236">
        <v>0</v>
      </c>
      <c r="U16" s="236">
        <v>0</v>
      </c>
      <c r="V16" s="236">
        <v>3</v>
      </c>
      <c r="W16" s="236">
        <f>T16*3+U16*1</f>
        <v>0</v>
      </c>
      <c r="Y16" s="217">
        <v>4</v>
      </c>
      <c r="Z16" s="236" t="s">
        <v>179</v>
      </c>
      <c r="AA16" s="236">
        <v>0</v>
      </c>
      <c r="AB16" s="236">
        <v>0</v>
      </c>
      <c r="AC16" s="236">
        <v>3</v>
      </c>
      <c r="AD16" s="236">
        <f>AA16*3+AB16*1</f>
        <v>0</v>
      </c>
    </row>
    <row r="17" spans="2:30">
      <c r="B17" s="242">
        <v>12</v>
      </c>
      <c r="C17" s="237" t="s">
        <v>425</v>
      </c>
      <c r="D17" s="238">
        <v>6</v>
      </c>
      <c r="E17" s="239" t="s">
        <v>76</v>
      </c>
      <c r="F17" s="239" t="s">
        <v>601</v>
      </c>
      <c r="G17" s="239" t="s">
        <v>154</v>
      </c>
      <c r="H17" s="225" t="str">
        <f>VLOOKUP(E17,MD!$C$6:$K$105,3,FALSE())</f>
        <v>仁濟-ALPS</v>
      </c>
      <c r="I17" s="216" t="s">
        <v>601</v>
      </c>
      <c r="J17" s="225" t="str">
        <f>VLOOKUP(G17,MD!$C$6:$K$105,3,FALSE())</f>
        <v>我要買G63</v>
      </c>
      <c r="K17" s="226">
        <v>1</v>
      </c>
      <c r="L17" s="226">
        <f>20+21</f>
        <v>41</v>
      </c>
      <c r="M17" s="226">
        <f>22+13</f>
        <v>35</v>
      </c>
      <c r="N17" s="226">
        <v>1</v>
      </c>
      <c r="O17" s="227" t="s">
        <v>623</v>
      </c>
      <c r="P17" s="219"/>
      <c r="Q17" s="219"/>
      <c r="R17" s="209"/>
      <c r="S17" s="209"/>
      <c r="Y17" s="209"/>
      <c r="Z17" s="209"/>
    </row>
    <row r="18" spans="2:30">
      <c r="B18" s="240">
        <v>13</v>
      </c>
      <c r="C18" s="245" t="s">
        <v>426</v>
      </c>
      <c r="D18" s="246">
        <v>1</v>
      </c>
      <c r="E18" s="221" t="s">
        <v>82</v>
      </c>
      <c r="F18" s="224" t="s">
        <v>601</v>
      </c>
      <c r="G18" s="224" t="s">
        <v>624</v>
      </c>
      <c r="H18" s="225" t="str">
        <f>VLOOKUP(E18,MD!$C$6:$K$105,3,FALSE())</f>
        <v>ALPS - TANGWO</v>
      </c>
      <c r="I18" s="216" t="s">
        <v>601</v>
      </c>
      <c r="J18" s="225" t="s">
        <v>240</v>
      </c>
      <c r="K18" s="226">
        <v>2</v>
      </c>
      <c r="L18" s="226">
        <f>21+21</f>
        <v>42</v>
      </c>
      <c r="M18" s="226">
        <f>12+10</f>
        <v>22</v>
      </c>
      <c r="N18" s="226">
        <v>0</v>
      </c>
      <c r="O18" s="227" t="s">
        <v>625</v>
      </c>
      <c r="P18" s="219"/>
      <c r="Q18" s="219"/>
      <c r="R18" s="228" t="s">
        <v>605</v>
      </c>
      <c r="S18" s="229" t="s">
        <v>49</v>
      </c>
      <c r="T18" s="229" t="s">
        <v>606</v>
      </c>
      <c r="U18" s="229" t="s">
        <v>607</v>
      </c>
      <c r="V18" s="229" t="s">
        <v>608</v>
      </c>
      <c r="W18" s="229" t="s">
        <v>60</v>
      </c>
      <c r="Y18" s="228" t="s">
        <v>605</v>
      </c>
      <c r="Z18" s="229" t="s">
        <v>49</v>
      </c>
      <c r="AA18" s="229" t="s">
        <v>606</v>
      </c>
      <c r="AB18" s="229" t="s">
        <v>607</v>
      </c>
      <c r="AC18" s="229" t="s">
        <v>608</v>
      </c>
      <c r="AD18" s="229" t="s">
        <v>60</v>
      </c>
    </row>
    <row r="19" spans="2:30">
      <c r="B19" s="242">
        <v>14</v>
      </c>
      <c r="C19" s="232" t="s">
        <v>426</v>
      </c>
      <c r="D19" s="246">
        <v>2</v>
      </c>
      <c r="E19" s="247" t="s">
        <v>148</v>
      </c>
      <c r="F19" s="234" t="s">
        <v>601</v>
      </c>
      <c r="G19" s="234" t="s">
        <v>178</v>
      </c>
      <c r="H19" s="248" t="str">
        <f>VLOOKUP(E19,MD!$C$6:$K$105,3,FALSE())</f>
        <v>ALPS - 9號烈峰或PO峰信號</v>
      </c>
      <c r="I19" s="216" t="s">
        <v>601</v>
      </c>
      <c r="J19" s="225" t="str">
        <f>VLOOKUP(G19,MD!$C$6:$K$105,3,FALSE())</f>
        <v>消防處</v>
      </c>
      <c r="K19" s="226">
        <v>2</v>
      </c>
      <c r="L19" s="226">
        <f>21+21</f>
        <v>42</v>
      </c>
      <c r="M19" s="226">
        <f>8+12</f>
        <v>20</v>
      </c>
      <c r="N19" s="226">
        <v>0</v>
      </c>
      <c r="O19" s="227" t="s">
        <v>546</v>
      </c>
      <c r="P19" s="219"/>
      <c r="Q19" s="227" t="s">
        <v>428</v>
      </c>
      <c r="R19" s="217">
        <v>1</v>
      </c>
      <c r="S19" s="235" t="s">
        <v>89</v>
      </c>
      <c r="T19" s="236">
        <v>2</v>
      </c>
      <c r="U19" s="236">
        <v>1</v>
      </c>
      <c r="V19" s="236">
        <v>0</v>
      </c>
      <c r="W19" s="236">
        <f>T19*3+U19*1</f>
        <v>7</v>
      </c>
      <c r="X19" s="230" t="s">
        <v>429</v>
      </c>
      <c r="Y19" s="217">
        <v>1</v>
      </c>
      <c r="Z19" s="235" t="s">
        <v>191</v>
      </c>
      <c r="AA19" s="236">
        <v>2</v>
      </c>
      <c r="AB19" s="236">
        <v>1</v>
      </c>
      <c r="AC19" s="236">
        <v>0</v>
      </c>
      <c r="AD19" s="236">
        <f>AA19*3+AB19*1</f>
        <v>7</v>
      </c>
    </row>
    <row r="20" spans="2:30">
      <c r="B20" s="242">
        <v>15</v>
      </c>
      <c r="C20" s="249" t="s">
        <v>426</v>
      </c>
      <c r="D20" s="233">
        <v>3</v>
      </c>
      <c r="E20" s="234" t="s">
        <v>82</v>
      </c>
      <c r="F20" s="234" t="s">
        <v>601</v>
      </c>
      <c r="G20" s="234" t="s">
        <v>178</v>
      </c>
      <c r="H20" s="225" t="str">
        <f>VLOOKUP(E20,MD!$C$6:$K$105,3,FALSE())</f>
        <v>ALPS - TANGWO</v>
      </c>
      <c r="I20" s="216" t="s">
        <v>601</v>
      </c>
      <c r="J20" s="225" t="str">
        <f>VLOOKUP(G20,MD!$C$6:$K$105,3,FALSE())</f>
        <v>消防處</v>
      </c>
      <c r="K20" s="226">
        <v>2</v>
      </c>
      <c r="L20" s="226">
        <f>21+21</f>
        <v>42</v>
      </c>
      <c r="M20" s="226">
        <f>9+11</f>
        <v>20</v>
      </c>
      <c r="N20" s="226">
        <v>0</v>
      </c>
      <c r="O20" s="227" t="s">
        <v>626</v>
      </c>
      <c r="P20" s="219"/>
      <c r="Q20" s="219"/>
      <c r="R20" s="217">
        <v>2</v>
      </c>
      <c r="S20" s="235" t="s">
        <v>627</v>
      </c>
      <c r="T20" s="236">
        <v>2</v>
      </c>
      <c r="U20" s="236">
        <v>1</v>
      </c>
      <c r="V20" s="236">
        <v>0</v>
      </c>
      <c r="W20" s="236">
        <f>T20*3+U20*1</f>
        <v>7</v>
      </c>
      <c r="Y20" s="217">
        <v>2</v>
      </c>
      <c r="Z20" s="235" t="s">
        <v>222</v>
      </c>
      <c r="AA20" s="236">
        <v>1</v>
      </c>
      <c r="AB20" s="236">
        <v>2</v>
      </c>
      <c r="AC20" s="236">
        <v>0</v>
      </c>
      <c r="AD20" s="236">
        <f>AA20*3+AB20*1</f>
        <v>5</v>
      </c>
    </row>
    <row r="21" spans="2:30">
      <c r="B21" s="242">
        <v>16</v>
      </c>
      <c r="C21" s="232" t="s">
        <v>426</v>
      </c>
      <c r="D21" s="246">
        <v>4</v>
      </c>
      <c r="E21" s="247" t="s">
        <v>148</v>
      </c>
      <c r="F21" s="234" t="s">
        <v>601</v>
      </c>
      <c r="G21" s="234" t="s">
        <v>624</v>
      </c>
      <c r="H21" s="248" t="str">
        <f>VLOOKUP(E21,MD!$C$6:$K$105,3,FALSE())</f>
        <v>ALPS - 9號烈峰或PO峰信號</v>
      </c>
      <c r="I21" s="216" t="s">
        <v>601</v>
      </c>
      <c r="J21" s="225" t="s">
        <v>240</v>
      </c>
      <c r="K21" s="226">
        <v>1</v>
      </c>
      <c r="L21" s="226">
        <f>18+21</f>
        <v>39</v>
      </c>
      <c r="M21" s="226">
        <f>21+10</f>
        <v>31</v>
      </c>
      <c r="N21" s="226">
        <v>1</v>
      </c>
      <c r="O21" s="227" t="s">
        <v>628</v>
      </c>
      <c r="P21" s="219"/>
      <c r="Q21" s="219"/>
      <c r="R21" s="217">
        <v>3</v>
      </c>
      <c r="S21" s="235" t="s">
        <v>228</v>
      </c>
      <c r="T21" s="236">
        <v>1</v>
      </c>
      <c r="U21" s="236">
        <v>0</v>
      </c>
      <c r="V21" s="236">
        <v>2</v>
      </c>
      <c r="W21" s="236">
        <f>T21*3+U21*1</f>
        <v>3</v>
      </c>
      <c r="Y21" s="217">
        <v>3</v>
      </c>
      <c r="Z21" s="235" t="s">
        <v>95</v>
      </c>
      <c r="AA21" s="236">
        <v>1</v>
      </c>
      <c r="AB21" s="236">
        <v>0</v>
      </c>
      <c r="AC21" s="236">
        <v>2</v>
      </c>
      <c r="AD21" s="236">
        <f>AA21*3+AB21*1</f>
        <v>3</v>
      </c>
    </row>
    <row r="22" spans="2:30">
      <c r="B22" s="240">
        <v>17</v>
      </c>
      <c r="C22" s="232" t="s">
        <v>426</v>
      </c>
      <c r="D22" s="246">
        <v>5</v>
      </c>
      <c r="E22" s="247" t="s">
        <v>178</v>
      </c>
      <c r="F22" s="234" t="s">
        <v>601</v>
      </c>
      <c r="G22" s="234" t="s">
        <v>624</v>
      </c>
      <c r="H22" s="225" t="str">
        <f>VLOOKUP(E22,MD!$C$6:$K$105,3,FALSE())</f>
        <v>消防處</v>
      </c>
      <c r="I22" s="216" t="s">
        <v>601</v>
      </c>
      <c r="J22" s="225" t="s">
        <v>240</v>
      </c>
      <c r="K22" s="226">
        <v>0</v>
      </c>
      <c r="L22" s="226">
        <f>11+19</f>
        <v>30</v>
      </c>
      <c r="M22" s="226">
        <f>21+21</f>
        <v>42</v>
      </c>
      <c r="N22" s="226">
        <v>2</v>
      </c>
      <c r="O22" s="227" t="s">
        <v>629</v>
      </c>
      <c r="P22" s="219"/>
      <c r="Q22" s="219"/>
      <c r="R22" s="217">
        <v>4</v>
      </c>
      <c r="S22" s="236" t="s">
        <v>185</v>
      </c>
      <c r="T22" s="236">
        <v>0</v>
      </c>
      <c r="U22" s="236">
        <v>0</v>
      </c>
      <c r="V22" s="236">
        <v>3</v>
      </c>
      <c r="W22" s="236">
        <f>T22*3+U22*1</f>
        <v>0</v>
      </c>
      <c r="Y22" s="217">
        <v>4</v>
      </c>
      <c r="Z22" s="235" t="s">
        <v>125</v>
      </c>
      <c r="AA22" s="236">
        <v>0</v>
      </c>
      <c r="AB22" s="236">
        <v>1</v>
      </c>
      <c r="AC22" s="236">
        <v>2</v>
      </c>
      <c r="AD22" s="236">
        <f>AA22*3+AB22*1</f>
        <v>1</v>
      </c>
    </row>
    <row r="23" spans="2:30">
      <c r="B23" s="242">
        <v>18</v>
      </c>
      <c r="C23" s="237" t="s">
        <v>426</v>
      </c>
      <c r="D23" s="238">
        <v>6</v>
      </c>
      <c r="E23" s="250" t="s">
        <v>82</v>
      </c>
      <c r="F23" s="239" t="s">
        <v>601</v>
      </c>
      <c r="G23" s="239" t="s">
        <v>148</v>
      </c>
      <c r="H23" s="225" t="str">
        <f>VLOOKUP(E23,MD!$C$6:$K$105,3,FALSE())</f>
        <v>ALPS - TANGWO</v>
      </c>
      <c r="I23" s="216" t="s">
        <v>601</v>
      </c>
      <c r="J23" s="248" t="str">
        <f>VLOOKUP(G23,MD!$C$6:$K$105,3,FALSE())</f>
        <v>ALPS - 9號烈峰或PO峰信號</v>
      </c>
      <c r="K23" s="226">
        <v>1</v>
      </c>
      <c r="L23" s="226">
        <f>21+19</f>
        <v>40</v>
      </c>
      <c r="M23" s="226">
        <f>13+21</f>
        <v>34</v>
      </c>
      <c r="N23" s="226">
        <v>1</v>
      </c>
      <c r="O23" s="227" t="s">
        <v>630</v>
      </c>
      <c r="P23" s="219"/>
      <c r="Q23" s="219"/>
      <c r="R23" s="209"/>
      <c r="Y23" s="209"/>
    </row>
    <row r="24" spans="2:30">
      <c r="B24" s="240">
        <v>19</v>
      </c>
      <c r="C24" s="251" t="s">
        <v>427</v>
      </c>
      <c r="D24" s="246">
        <v>1</v>
      </c>
      <c r="E24" s="247" t="s">
        <v>88</v>
      </c>
      <c r="F24" s="234" t="s">
        <v>601</v>
      </c>
      <c r="G24" s="234" t="s">
        <v>631</v>
      </c>
      <c r="H24" s="225" t="str">
        <f>VLOOKUP(E24,MD!$C$6:$K$105,3,FALSE())</f>
        <v>ALPS - LC</v>
      </c>
      <c r="I24" s="216" t="s">
        <v>601</v>
      </c>
      <c r="J24" s="216" t="s">
        <v>404</v>
      </c>
      <c r="K24" s="226">
        <v>0</v>
      </c>
      <c r="L24" s="226">
        <f>14+11</f>
        <v>25</v>
      </c>
      <c r="M24" s="226">
        <f>21+21</f>
        <v>42</v>
      </c>
      <c r="N24" s="226">
        <v>2</v>
      </c>
      <c r="O24" s="227" t="s">
        <v>632</v>
      </c>
      <c r="P24" s="219"/>
      <c r="Q24" s="227" t="s">
        <v>430</v>
      </c>
      <c r="R24" s="228" t="s">
        <v>605</v>
      </c>
      <c r="S24" s="229" t="s">
        <v>49</v>
      </c>
      <c r="T24" s="229" t="s">
        <v>606</v>
      </c>
      <c r="U24" s="229" t="s">
        <v>607</v>
      </c>
      <c r="V24" s="229" t="s">
        <v>608</v>
      </c>
      <c r="W24" s="229" t="s">
        <v>60</v>
      </c>
      <c r="X24" s="230" t="s">
        <v>431</v>
      </c>
      <c r="Y24" s="228" t="s">
        <v>605</v>
      </c>
      <c r="Z24" s="229" t="s">
        <v>49</v>
      </c>
      <c r="AA24" s="229" t="s">
        <v>606</v>
      </c>
      <c r="AB24" s="229" t="s">
        <v>607</v>
      </c>
      <c r="AC24" s="229" t="s">
        <v>608</v>
      </c>
      <c r="AD24" s="229" t="s">
        <v>60</v>
      </c>
    </row>
    <row r="25" spans="2:30">
      <c r="B25" s="242">
        <v>20</v>
      </c>
      <c r="C25" s="251" t="s">
        <v>427</v>
      </c>
      <c r="D25" s="246">
        <v>2</v>
      </c>
      <c r="E25" s="247" t="s">
        <v>142</v>
      </c>
      <c r="F25" s="234" t="s">
        <v>601</v>
      </c>
      <c r="G25" s="234" t="s">
        <v>184</v>
      </c>
      <c r="H25" s="225" t="str">
        <f>VLOOKUP(E25,MD!$C$6:$K$105,3,FALSE())</f>
        <v>SCAA LM</v>
      </c>
      <c r="I25" s="216" t="s">
        <v>601</v>
      </c>
      <c r="J25" s="225" t="str">
        <f>VLOOKUP(G25,MD!$C$6:$K$105,3,FALSE())</f>
        <v>撈碧鵰</v>
      </c>
      <c r="K25" s="226">
        <v>2</v>
      </c>
      <c r="L25" s="226">
        <f>21+21</f>
        <v>42</v>
      </c>
      <c r="M25" s="226">
        <f>1+5</f>
        <v>6</v>
      </c>
      <c r="N25" s="226">
        <v>0</v>
      </c>
      <c r="O25" s="227" t="s">
        <v>633</v>
      </c>
      <c r="P25" s="219"/>
      <c r="Q25" s="219"/>
      <c r="R25" s="217">
        <v>1</v>
      </c>
      <c r="S25" s="235" t="s">
        <v>101</v>
      </c>
      <c r="T25" s="236">
        <v>3</v>
      </c>
      <c r="U25" s="236">
        <v>0</v>
      </c>
      <c r="V25" s="236">
        <v>0</v>
      </c>
      <c r="W25" s="236">
        <f>T25*3+U25*1</f>
        <v>9</v>
      </c>
      <c r="Y25" s="217">
        <v>1</v>
      </c>
      <c r="Z25" s="235" t="s">
        <v>634</v>
      </c>
      <c r="AA25" s="236">
        <v>3</v>
      </c>
      <c r="AB25" s="236">
        <v>0</v>
      </c>
      <c r="AC25" s="236">
        <v>0</v>
      </c>
      <c r="AD25" s="236">
        <f>AA25*3+AB25*1</f>
        <v>9</v>
      </c>
    </row>
    <row r="26" spans="2:30">
      <c r="B26" s="242">
        <v>21</v>
      </c>
      <c r="C26" s="232" t="s">
        <v>427</v>
      </c>
      <c r="D26" s="233">
        <v>3</v>
      </c>
      <c r="E26" s="234" t="s">
        <v>88</v>
      </c>
      <c r="F26" s="234" t="s">
        <v>601</v>
      </c>
      <c r="G26" s="234" t="s">
        <v>184</v>
      </c>
      <c r="H26" s="225" t="str">
        <f>VLOOKUP(E26,MD!$C$6:$K$105,3,FALSE())</f>
        <v>ALPS - LC</v>
      </c>
      <c r="I26" s="216" t="s">
        <v>601</v>
      </c>
      <c r="J26" s="225" t="str">
        <f>VLOOKUP(G26,MD!$C$6:$K$105,3,FALSE())</f>
        <v>撈碧鵰</v>
      </c>
      <c r="K26" s="226">
        <v>2</v>
      </c>
      <c r="L26" s="226">
        <f>21+21</f>
        <v>42</v>
      </c>
      <c r="M26" s="226">
        <f>4+6</f>
        <v>10</v>
      </c>
      <c r="N26" s="226">
        <v>0</v>
      </c>
      <c r="O26" s="227" t="s">
        <v>635</v>
      </c>
      <c r="P26" s="219"/>
      <c r="Q26" s="219"/>
      <c r="R26" s="217">
        <v>2</v>
      </c>
      <c r="S26" s="235" t="s">
        <v>369</v>
      </c>
      <c r="T26" s="236">
        <v>2</v>
      </c>
      <c r="U26" s="236">
        <v>0</v>
      </c>
      <c r="V26" s="236">
        <v>1</v>
      </c>
      <c r="W26" s="236">
        <f>T26*3+U26*1</f>
        <v>6</v>
      </c>
      <c r="Y26" s="217">
        <v>2</v>
      </c>
      <c r="Z26" s="235" t="s">
        <v>636</v>
      </c>
      <c r="AA26" s="236">
        <v>2</v>
      </c>
      <c r="AB26" s="236">
        <v>0</v>
      </c>
      <c r="AC26" s="236">
        <v>1</v>
      </c>
      <c r="AD26" s="236">
        <f>AA26*3+AB26*1</f>
        <v>6</v>
      </c>
    </row>
    <row r="27" spans="2:30">
      <c r="B27" s="242">
        <v>22</v>
      </c>
      <c r="C27" s="251" t="s">
        <v>427</v>
      </c>
      <c r="D27" s="246">
        <v>4</v>
      </c>
      <c r="E27" s="247" t="s">
        <v>142</v>
      </c>
      <c r="F27" s="234" t="s">
        <v>601</v>
      </c>
      <c r="G27" s="234" t="s">
        <v>631</v>
      </c>
      <c r="H27" s="225" t="str">
        <f>VLOOKUP(E27,MD!$C$6:$K$105,3,FALSE())</f>
        <v>SCAA LM</v>
      </c>
      <c r="I27" s="216" t="s">
        <v>601</v>
      </c>
      <c r="J27" s="216" t="s">
        <v>404</v>
      </c>
      <c r="K27" s="226">
        <v>0</v>
      </c>
      <c r="L27" s="226">
        <f>11+12</f>
        <v>23</v>
      </c>
      <c r="M27" s="226">
        <f>21+21</f>
        <v>42</v>
      </c>
      <c r="N27" s="226">
        <v>2</v>
      </c>
      <c r="O27" s="227" t="s">
        <v>637</v>
      </c>
      <c r="P27" s="219"/>
      <c r="Q27" s="219"/>
      <c r="R27" s="217">
        <v>3</v>
      </c>
      <c r="S27" s="235" t="s">
        <v>119</v>
      </c>
      <c r="T27" s="236">
        <v>1</v>
      </c>
      <c r="U27" s="236">
        <v>0</v>
      </c>
      <c r="V27" s="236">
        <v>2</v>
      </c>
      <c r="W27" s="236">
        <f>T27*3+U27*1</f>
        <v>3</v>
      </c>
      <c r="Y27" s="217">
        <v>3</v>
      </c>
      <c r="Z27" s="236" t="s">
        <v>289</v>
      </c>
      <c r="AA27" s="236">
        <v>0</v>
      </c>
      <c r="AB27" s="236">
        <v>1</v>
      </c>
      <c r="AC27" s="236">
        <v>2</v>
      </c>
      <c r="AD27" s="236">
        <f>AA27*3+AB27*1</f>
        <v>1</v>
      </c>
    </row>
    <row r="28" spans="2:30">
      <c r="B28" s="240">
        <v>23</v>
      </c>
      <c r="C28" s="251" t="s">
        <v>427</v>
      </c>
      <c r="D28" s="246">
        <v>5</v>
      </c>
      <c r="E28" s="247" t="s">
        <v>184</v>
      </c>
      <c r="F28" s="234" t="s">
        <v>601</v>
      </c>
      <c r="G28" s="234" t="s">
        <v>631</v>
      </c>
      <c r="H28" s="225" t="str">
        <f>VLOOKUP(E28,MD!$C$6:$K$105,3,FALSE())</f>
        <v>撈碧鵰</v>
      </c>
      <c r="I28" s="216" t="s">
        <v>601</v>
      </c>
      <c r="J28" s="216" t="s">
        <v>404</v>
      </c>
      <c r="K28" s="226">
        <v>0</v>
      </c>
      <c r="L28" s="226">
        <f>6+5</f>
        <v>11</v>
      </c>
      <c r="M28" s="226">
        <f>21+21</f>
        <v>42</v>
      </c>
      <c r="N28" s="226">
        <v>2</v>
      </c>
      <c r="O28" s="227" t="s">
        <v>638</v>
      </c>
      <c r="P28" s="219"/>
      <c r="Q28" s="219"/>
      <c r="R28" s="217">
        <v>4</v>
      </c>
      <c r="S28" s="236" t="s">
        <v>639</v>
      </c>
      <c r="T28" s="236">
        <v>0</v>
      </c>
      <c r="U28" s="236">
        <v>0</v>
      </c>
      <c r="V28" s="236">
        <v>3</v>
      </c>
      <c r="W28" s="236">
        <f>T28*3+U28*1</f>
        <v>0</v>
      </c>
      <c r="Y28" s="217">
        <v>4</v>
      </c>
      <c r="Z28" s="236" t="s">
        <v>204</v>
      </c>
      <c r="AA28" s="236">
        <v>0</v>
      </c>
      <c r="AB28" s="236">
        <v>1</v>
      </c>
      <c r="AC28" s="236">
        <v>2</v>
      </c>
      <c r="AD28" s="236">
        <f>AA28*3+AB28*1</f>
        <v>1</v>
      </c>
    </row>
    <row r="29" spans="2:30">
      <c r="B29" s="242">
        <v>24</v>
      </c>
      <c r="C29" s="251" t="s">
        <v>427</v>
      </c>
      <c r="D29" s="238">
        <v>6</v>
      </c>
      <c r="E29" s="250" t="s">
        <v>88</v>
      </c>
      <c r="F29" s="239" t="s">
        <v>601</v>
      </c>
      <c r="G29" s="239" t="s">
        <v>142</v>
      </c>
      <c r="H29" s="225" t="str">
        <f>VLOOKUP(E29,MD!$C$6:$K$105,3,FALSE())</f>
        <v>ALPS - LC</v>
      </c>
      <c r="I29" s="216" t="s">
        <v>601</v>
      </c>
      <c r="J29" s="225" t="str">
        <f>VLOOKUP(G29,MD!$C$6:$K$105,3,FALSE())</f>
        <v>SCAA LM</v>
      </c>
      <c r="K29" s="226">
        <v>2</v>
      </c>
      <c r="L29" s="226">
        <f>21+21</f>
        <v>42</v>
      </c>
      <c r="M29" s="226">
        <f>12+17</f>
        <v>29</v>
      </c>
      <c r="N29" s="226">
        <v>0</v>
      </c>
      <c r="O29" s="227" t="s">
        <v>640</v>
      </c>
      <c r="P29" s="219"/>
      <c r="Q29" s="219"/>
      <c r="R29" s="209"/>
      <c r="S29" s="209"/>
    </row>
    <row r="30" spans="2:30">
      <c r="B30" s="240">
        <v>25</v>
      </c>
      <c r="C30" s="222" t="s">
        <v>428</v>
      </c>
      <c r="D30" s="246">
        <v>1</v>
      </c>
      <c r="E30" s="247" t="s">
        <v>94</v>
      </c>
      <c r="F30" s="234" t="s">
        <v>601</v>
      </c>
      <c r="G30" s="234" t="s">
        <v>641</v>
      </c>
      <c r="H30" s="225" t="str">
        <f>VLOOKUP(E30,MD!$C$6:$K$105,3,FALSE())</f>
        <v>SBDW</v>
      </c>
      <c r="I30" s="216" t="s">
        <v>601</v>
      </c>
      <c r="J30" s="216" t="s">
        <v>228</v>
      </c>
      <c r="K30" s="226">
        <v>2</v>
      </c>
      <c r="L30" s="226">
        <f>21+21</f>
        <v>42</v>
      </c>
      <c r="M30" s="226">
        <f>8+15</f>
        <v>23</v>
      </c>
      <c r="N30" s="226">
        <v>0</v>
      </c>
      <c r="O30" s="227" t="s">
        <v>642</v>
      </c>
      <c r="P30" s="219"/>
      <c r="Q30" s="2"/>
      <c r="R30" s="2"/>
    </row>
    <row r="31" spans="2:30">
      <c r="B31" s="242">
        <v>26</v>
      </c>
      <c r="C31" s="232" t="s">
        <v>428</v>
      </c>
      <c r="D31" s="246">
        <v>2</v>
      </c>
      <c r="E31" s="247" t="s">
        <v>136</v>
      </c>
      <c r="F31" s="234" t="s">
        <v>601</v>
      </c>
      <c r="G31" s="234" t="s">
        <v>190</v>
      </c>
      <c r="H31" s="225" t="str">
        <f>VLOOKUP(E31,MD!$C$6:$K$105,3,FALSE())</f>
        <v>ALPS 大埔</v>
      </c>
      <c r="I31" s="216" t="s">
        <v>601</v>
      </c>
      <c r="J31" s="225" t="str">
        <f>VLOOKUP(G31,MD!$C$6:$K$105,3,FALSE())</f>
        <v>北極熊</v>
      </c>
      <c r="K31" s="226">
        <v>2</v>
      </c>
      <c r="L31" s="226">
        <f>21+21</f>
        <v>42</v>
      </c>
      <c r="M31" s="226">
        <f>9+9</f>
        <v>18</v>
      </c>
      <c r="N31" s="226">
        <v>0</v>
      </c>
      <c r="O31" s="227" t="s">
        <v>643</v>
      </c>
      <c r="P31" s="219"/>
      <c r="Q31" s="2"/>
      <c r="R31" s="2"/>
      <c r="S31" s="2"/>
      <c r="T31" s="2"/>
      <c r="U31" s="2"/>
      <c r="V31" s="2"/>
      <c r="W31" s="2"/>
      <c r="X31" s="2"/>
    </row>
    <row r="32" spans="2:30">
      <c r="B32" s="242">
        <v>27</v>
      </c>
      <c r="C32" s="232" t="s">
        <v>428</v>
      </c>
      <c r="D32" s="233">
        <v>3</v>
      </c>
      <c r="E32" s="234" t="s">
        <v>94</v>
      </c>
      <c r="F32" s="234" t="s">
        <v>601</v>
      </c>
      <c r="G32" s="234" t="s">
        <v>190</v>
      </c>
      <c r="H32" s="225" t="str">
        <f>VLOOKUP(E32,MD!$C$6:$K$105,3,FALSE())</f>
        <v>SBDW</v>
      </c>
      <c r="I32" s="216" t="s">
        <v>601</v>
      </c>
      <c r="J32" s="225" t="str">
        <f>VLOOKUP(G32,MD!$C$6:$K$105,3,FALSE())</f>
        <v>北極熊</v>
      </c>
      <c r="K32" s="226">
        <v>2</v>
      </c>
      <c r="L32" s="226">
        <f>21+21</f>
        <v>42</v>
      </c>
      <c r="M32" s="226">
        <f>15+13</f>
        <v>28</v>
      </c>
      <c r="N32" s="226">
        <v>0</v>
      </c>
      <c r="O32" s="227" t="s">
        <v>644</v>
      </c>
      <c r="P32" s="219"/>
      <c r="Q32" s="2"/>
      <c r="R32" s="2"/>
      <c r="S32" s="2"/>
      <c r="T32" s="2"/>
      <c r="U32" s="2"/>
      <c r="V32" s="2"/>
      <c r="W32" s="2"/>
      <c r="X32" s="2"/>
    </row>
    <row r="33" spans="2:30">
      <c r="B33" s="242">
        <v>28</v>
      </c>
      <c r="C33" s="232" t="s">
        <v>428</v>
      </c>
      <c r="D33" s="246">
        <v>4</v>
      </c>
      <c r="E33" s="247" t="s">
        <v>136</v>
      </c>
      <c r="F33" s="234" t="s">
        <v>601</v>
      </c>
      <c r="G33" s="234" t="s">
        <v>641</v>
      </c>
      <c r="H33" s="225" t="str">
        <f>VLOOKUP(E33,MD!$C$6:$K$105,3,FALSE())</f>
        <v>ALPS 大埔</v>
      </c>
      <c r="I33" s="216" t="s">
        <v>601</v>
      </c>
      <c r="J33" s="216" t="s">
        <v>228</v>
      </c>
      <c r="K33" s="226">
        <v>2</v>
      </c>
      <c r="L33" s="226">
        <f>21+21</f>
        <v>42</v>
      </c>
      <c r="M33" s="226">
        <f>8+9</f>
        <v>17</v>
      </c>
      <c r="N33" s="226">
        <v>0</v>
      </c>
      <c r="O33" s="227" t="s">
        <v>645</v>
      </c>
      <c r="P33" s="219"/>
      <c r="Q33" s="2"/>
      <c r="R33" s="2"/>
      <c r="S33" s="2"/>
      <c r="T33" s="2"/>
      <c r="U33" s="2"/>
      <c r="V33" s="2"/>
      <c r="W33" s="2"/>
      <c r="X33" s="2"/>
    </row>
    <row r="34" spans="2:30">
      <c r="B34" s="240">
        <v>29</v>
      </c>
      <c r="C34" s="232" t="s">
        <v>428</v>
      </c>
      <c r="D34" s="246">
        <v>5</v>
      </c>
      <c r="E34" s="247" t="s">
        <v>190</v>
      </c>
      <c r="F34" s="234" t="s">
        <v>601</v>
      </c>
      <c r="G34" s="234" t="s">
        <v>641</v>
      </c>
      <c r="H34" s="225" t="str">
        <f>VLOOKUP(E34,MD!$C$6:$K$105,3,FALSE())</f>
        <v>北極熊</v>
      </c>
      <c r="I34" s="216" t="s">
        <v>601</v>
      </c>
      <c r="J34" s="216" t="s">
        <v>228</v>
      </c>
      <c r="K34" s="226">
        <v>0</v>
      </c>
      <c r="L34" s="226">
        <f>8+14</f>
        <v>22</v>
      </c>
      <c r="M34" s="226">
        <f>21+21</f>
        <v>42</v>
      </c>
      <c r="N34" s="226">
        <v>2</v>
      </c>
      <c r="O34" s="227" t="s">
        <v>646</v>
      </c>
      <c r="P34" s="21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2:30">
      <c r="B35" s="242">
        <v>30</v>
      </c>
      <c r="C35" s="232" t="s">
        <v>428</v>
      </c>
      <c r="D35" s="238">
        <v>6</v>
      </c>
      <c r="E35" s="250" t="s">
        <v>94</v>
      </c>
      <c r="F35" s="239" t="s">
        <v>601</v>
      </c>
      <c r="G35" s="239" t="s">
        <v>136</v>
      </c>
      <c r="H35" s="225" t="str">
        <f>VLOOKUP(E35,MD!$C$6:$K$105,3,FALSE())</f>
        <v>SBDW</v>
      </c>
      <c r="I35" s="216" t="s">
        <v>601</v>
      </c>
      <c r="J35" s="225" t="str">
        <f>VLOOKUP(G35,MD!$C$6:$K$105,3,FALSE())</f>
        <v>ALPS 大埔</v>
      </c>
      <c r="K35" s="226">
        <v>1</v>
      </c>
      <c r="L35" s="226">
        <f>23+21</f>
        <v>44</v>
      </c>
      <c r="M35" s="226">
        <f>25+15</f>
        <v>40</v>
      </c>
      <c r="N35" s="226">
        <v>1</v>
      </c>
      <c r="O35" s="227" t="s">
        <v>647</v>
      </c>
      <c r="P35" s="219"/>
      <c r="Q35" s="2"/>
      <c r="R35" s="2"/>
      <c r="X35" s="2"/>
      <c r="Y35" s="2"/>
      <c r="Z35" s="2"/>
      <c r="AA35" s="2"/>
      <c r="AB35" s="2"/>
      <c r="AC35" s="2"/>
      <c r="AD35" s="2"/>
    </row>
    <row r="36" spans="2:30">
      <c r="B36" s="240">
        <v>31</v>
      </c>
      <c r="C36" s="222" t="s">
        <v>429</v>
      </c>
      <c r="D36" s="246">
        <v>1</v>
      </c>
      <c r="E36" s="221" t="s">
        <v>100</v>
      </c>
      <c r="F36" s="224" t="s">
        <v>601</v>
      </c>
      <c r="G36" s="224" t="s">
        <v>648</v>
      </c>
      <c r="H36" s="225" t="str">
        <f>VLOOKUP(E36,MD!$C$6:$K$105,3,FALSE())</f>
        <v>ALPS - SKTL</v>
      </c>
      <c r="I36" s="216" t="s">
        <v>601</v>
      </c>
      <c r="J36" s="216" t="s">
        <v>222</v>
      </c>
      <c r="K36" s="226">
        <v>0</v>
      </c>
      <c r="L36" s="226">
        <f>21+10</f>
        <v>31</v>
      </c>
      <c r="M36" s="226">
        <f>23+21</f>
        <v>44</v>
      </c>
      <c r="N36" s="226">
        <v>2</v>
      </c>
      <c r="O36" s="227" t="s">
        <v>649</v>
      </c>
      <c r="P36" s="219"/>
      <c r="Q36" s="2"/>
      <c r="R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2:30">
      <c r="B37" s="242">
        <v>32</v>
      </c>
      <c r="C37" s="232" t="s">
        <v>429</v>
      </c>
      <c r="D37" s="246">
        <v>2</v>
      </c>
      <c r="E37" s="247" t="s">
        <v>130</v>
      </c>
      <c r="F37" s="234" t="s">
        <v>601</v>
      </c>
      <c r="G37" s="234" t="s">
        <v>196</v>
      </c>
      <c r="H37" s="225" t="str">
        <f>VLOOKUP(E37,MD!$C$6:$K$105,3,FALSE())</f>
        <v>ALPS-CheapDrink</v>
      </c>
      <c r="I37" s="216" t="s">
        <v>601</v>
      </c>
      <c r="J37" s="225" t="str">
        <f>VLOOKUP(G37,MD!$C$6:$K$105,3,FALSE())</f>
        <v>ALPS - SC</v>
      </c>
      <c r="K37" s="226">
        <v>0</v>
      </c>
      <c r="L37" s="226">
        <f>21+21</f>
        <v>42</v>
      </c>
      <c r="M37" s="226">
        <f>23+23</f>
        <v>46</v>
      </c>
      <c r="N37" s="226">
        <v>2</v>
      </c>
      <c r="O37" s="227" t="s">
        <v>650</v>
      </c>
      <c r="P37" s="21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2:30">
      <c r="B38" s="242">
        <v>33</v>
      </c>
      <c r="C38" s="232" t="s">
        <v>429</v>
      </c>
      <c r="D38" s="233">
        <v>3</v>
      </c>
      <c r="E38" s="234" t="s">
        <v>100</v>
      </c>
      <c r="F38" s="234" t="s">
        <v>601</v>
      </c>
      <c r="G38" s="234" t="s">
        <v>196</v>
      </c>
      <c r="H38" s="225" t="str">
        <f>VLOOKUP(E38,MD!$C$6:$K$105,3,FALSE())</f>
        <v>ALPS - SKTL</v>
      </c>
      <c r="I38" s="216" t="s">
        <v>601</v>
      </c>
      <c r="J38" s="225" t="str">
        <f>VLOOKUP(G38,MD!$C$6:$K$105,3,FALSE())</f>
        <v>ALPS - SC</v>
      </c>
      <c r="K38" s="226">
        <v>0</v>
      </c>
      <c r="L38" s="226">
        <f>10+16</f>
        <v>26</v>
      </c>
      <c r="M38" s="226">
        <f>21+21</f>
        <v>42</v>
      </c>
      <c r="N38" s="226">
        <v>2</v>
      </c>
      <c r="O38" s="227" t="s">
        <v>651</v>
      </c>
      <c r="P38" s="21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2:30">
      <c r="B39" s="242">
        <v>34</v>
      </c>
      <c r="C39" s="232" t="s">
        <v>429</v>
      </c>
      <c r="D39" s="246">
        <v>4</v>
      </c>
      <c r="E39" s="247" t="s">
        <v>130</v>
      </c>
      <c r="F39" s="234" t="s">
        <v>601</v>
      </c>
      <c r="G39" s="234" t="s">
        <v>648</v>
      </c>
      <c r="H39" s="225" t="str">
        <f>VLOOKUP(E39,MD!$C$6:$K$105,3,FALSE())</f>
        <v>ALPS-CheapDrink</v>
      </c>
      <c r="I39" s="216" t="s">
        <v>601</v>
      </c>
      <c r="J39" s="216" t="s">
        <v>222</v>
      </c>
      <c r="K39" s="226">
        <v>1</v>
      </c>
      <c r="L39" s="226">
        <f>21+11</f>
        <v>32</v>
      </c>
      <c r="M39" s="226">
        <f>20+22</f>
        <v>42</v>
      </c>
      <c r="N39" s="226">
        <v>1</v>
      </c>
      <c r="O39" s="227" t="s">
        <v>652</v>
      </c>
      <c r="P39" s="21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2:30">
      <c r="B40" s="240">
        <v>35</v>
      </c>
      <c r="C40" s="232" t="s">
        <v>429</v>
      </c>
      <c r="D40" s="246">
        <v>5</v>
      </c>
      <c r="E40" s="247" t="s">
        <v>196</v>
      </c>
      <c r="F40" s="234" t="s">
        <v>601</v>
      </c>
      <c r="G40" s="234" t="s">
        <v>648</v>
      </c>
      <c r="H40" s="225" t="str">
        <f>VLOOKUP(E40,MD!$C$6:$K$105,3,FALSE())</f>
        <v>ALPS - SC</v>
      </c>
      <c r="I40" s="216" t="s">
        <v>601</v>
      </c>
      <c r="J40" s="216" t="s">
        <v>222</v>
      </c>
      <c r="K40" s="226">
        <v>1</v>
      </c>
      <c r="L40" s="226">
        <f>13+21</f>
        <v>34</v>
      </c>
      <c r="M40" s="226">
        <f>21+10</f>
        <v>31</v>
      </c>
      <c r="N40" s="226">
        <v>1</v>
      </c>
      <c r="O40" s="227" t="s">
        <v>653</v>
      </c>
      <c r="P40" s="21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2:30">
      <c r="B41" s="242">
        <v>36</v>
      </c>
      <c r="C41" s="237" t="s">
        <v>429</v>
      </c>
      <c r="D41" s="238">
        <v>6</v>
      </c>
      <c r="E41" s="250" t="s">
        <v>100</v>
      </c>
      <c r="F41" s="239" t="s">
        <v>601</v>
      </c>
      <c r="G41" s="239" t="s">
        <v>130</v>
      </c>
      <c r="H41" s="225" t="str">
        <f>VLOOKUP(E41,MD!$C$6:$K$105,3,FALSE())</f>
        <v>ALPS - SKTL</v>
      </c>
      <c r="I41" s="216" t="s">
        <v>601</v>
      </c>
      <c r="J41" s="225" t="str">
        <f>VLOOKUP(G41,MD!$C$6:$K$105,3,FALSE())</f>
        <v>ALPS-CheapDrink</v>
      </c>
      <c r="K41" s="226">
        <v>2</v>
      </c>
      <c r="L41" s="226">
        <f>23+21</f>
        <v>44</v>
      </c>
      <c r="M41" s="226">
        <f>21+16</f>
        <v>37</v>
      </c>
      <c r="N41" s="226">
        <v>0</v>
      </c>
      <c r="O41" s="227" t="s">
        <v>654</v>
      </c>
      <c r="P41" s="21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2:30">
      <c r="B42" s="240">
        <v>37</v>
      </c>
      <c r="C42" s="251" t="s">
        <v>430</v>
      </c>
      <c r="D42" s="246">
        <v>1</v>
      </c>
      <c r="E42" s="221" t="s">
        <v>106</v>
      </c>
      <c r="F42" s="224" t="s">
        <v>601</v>
      </c>
      <c r="G42" s="224" t="s">
        <v>655</v>
      </c>
      <c r="H42" s="225" t="str">
        <f>VLOOKUP(E42,MD!$C$6:$K$105,3,FALSE())</f>
        <v>ALPS Handshake</v>
      </c>
      <c r="I42" s="216" t="s">
        <v>601</v>
      </c>
      <c r="J42" s="216" t="s">
        <v>369</v>
      </c>
      <c r="K42" s="226">
        <v>2</v>
      </c>
      <c r="L42" s="226">
        <f>21+21</f>
        <v>42</v>
      </c>
      <c r="M42" s="226">
        <f>16+16</f>
        <v>32</v>
      </c>
      <c r="N42" s="226">
        <v>0</v>
      </c>
      <c r="O42" s="227" t="s">
        <v>656</v>
      </c>
      <c r="P42" s="21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2:30">
      <c r="B43" s="242">
        <v>38</v>
      </c>
      <c r="C43" s="251" t="s">
        <v>430</v>
      </c>
      <c r="D43" s="246">
        <v>2</v>
      </c>
      <c r="E43" s="247" t="s">
        <v>124</v>
      </c>
      <c r="F43" s="234" t="s">
        <v>601</v>
      </c>
      <c r="G43" s="234" t="s">
        <v>202</v>
      </c>
      <c r="H43" s="225" t="str">
        <f>VLOOKUP(E43,MD!$C$6:$K$105,3,FALSE())</f>
        <v xml:space="preserve">Ivan &amp; Pak </v>
      </c>
      <c r="I43" s="216" t="s">
        <v>601</v>
      </c>
      <c r="J43" s="225" t="str">
        <f>VLOOKUP(G43,MD!$C$6:$K$105,3,FALSE())</f>
        <v>西到2046</v>
      </c>
      <c r="K43" s="226">
        <v>2</v>
      </c>
      <c r="L43" s="226">
        <f>21+21</f>
        <v>42</v>
      </c>
      <c r="M43" s="226">
        <f>7+17</f>
        <v>24</v>
      </c>
      <c r="N43" s="226">
        <v>0</v>
      </c>
      <c r="O43" s="227" t="s">
        <v>657</v>
      </c>
      <c r="P43" s="21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2:30">
      <c r="B44" s="242">
        <v>39</v>
      </c>
      <c r="C44" s="232" t="s">
        <v>430</v>
      </c>
      <c r="D44" s="233">
        <v>3</v>
      </c>
      <c r="E44" s="234" t="s">
        <v>106</v>
      </c>
      <c r="F44" s="234" t="s">
        <v>601</v>
      </c>
      <c r="G44" s="234" t="s">
        <v>202</v>
      </c>
      <c r="H44" s="225" t="str">
        <f>VLOOKUP(E44,MD!$C$6:$K$105,3,FALSE())</f>
        <v>ALPS Handshake</v>
      </c>
      <c r="I44" s="216" t="s">
        <v>601</v>
      </c>
      <c r="J44" s="225" t="str">
        <f>VLOOKUP(G44,MD!$C$6:$K$105,3,FALSE())</f>
        <v>西到2046</v>
      </c>
      <c r="K44" s="226">
        <v>2</v>
      </c>
      <c r="L44" s="226">
        <f>21+21</f>
        <v>42</v>
      </c>
      <c r="M44" s="226">
        <f>15+13</f>
        <v>28</v>
      </c>
      <c r="N44" s="226">
        <v>0</v>
      </c>
      <c r="O44" s="227" t="s">
        <v>644</v>
      </c>
      <c r="P44" s="21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2:30">
      <c r="B45" s="242">
        <v>40</v>
      </c>
      <c r="C45" s="251" t="s">
        <v>430</v>
      </c>
      <c r="D45" s="246">
        <v>4</v>
      </c>
      <c r="E45" s="247" t="s">
        <v>124</v>
      </c>
      <c r="F45" s="234" t="s">
        <v>601</v>
      </c>
      <c r="G45" s="234" t="s">
        <v>655</v>
      </c>
      <c r="H45" s="225" t="str">
        <f>VLOOKUP(E45,MD!$C$6:$K$105,3,FALSE())</f>
        <v xml:space="preserve">Ivan &amp; Pak </v>
      </c>
      <c r="I45" s="216" t="s">
        <v>601</v>
      </c>
      <c r="J45" s="216" t="s">
        <v>369</v>
      </c>
      <c r="K45" s="226">
        <v>0</v>
      </c>
      <c r="L45" s="226">
        <f>20+21</f>
        <v>41</v>
      </c>
      <c r="M45" s="226">
        <f>22+23</f>
        <v>45</v>
      </c>
      <c r="N45" s="226">
        <v>2</v>
      </c>
      <c r="O45" s="227" t="s">
        <v>658</v>
      </c>
      <c r="P45" s="21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2:30">
      <c r="B46" s="240">
        <v>41</v>
      </c>
      <c r="C46" s="251" t="s">
        <v>430</v>
      </c>
      <c r="D46" s="246">
        <v>5</v>
      </c>
      <c r="E46" s="247" t="s">
        <v>202</v>
      </c>
      <c r="F46" s="234" t="s">
        <v>601</v>
      </c>
      <c r="G46" s="234" t="s">
        <v>655</v>
      </c>
      <c r="H46" s="225" t="str">
        <f>VLOOKUP(E46,MD!$C$6:$K$105,3,FALSE())</f>
        <v>西到2046</v>
      </c>
      <c r="I46" s="216" t="s">
        <v>601</v>
      </c>
      <c r="J46" s="216" t="s">
        <v>369</v>
      </c>
      <c r="K46" s="226">
        <v>0</v>
      </c>
      <c r="L46" s="226">
        <f>14+12</f>
        <v>26</v>
      </c>
      <c r="M46" s="226">
        <f>21+21</f>
        <v>42</v>
      </c>
      <c r="N46" s="226">
        <v>2</v>
      </c>
      <c r="O46" s="227" t="s">
        <v>659</v>
      </c>
      <c r="P46" s="21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2:30">
      <c r="B47" s="242">
        <v>42</v>
      </c>
      <c r="C47" s="237" t="s">
        <v>430</v>
      </c>
      <c r="D47" s="238">
        <v>6</v>
      </c>
      <c r="E47" s="250" t="s">
        <v>106</v>
      </c>
      <c r="F47" s="239" t="s">
        <v>601</v>
      </c>
      <c r="G47" s="239" t="s">
        <v>124</v>
      </c>
      <c r="H47" s="225" t="str">
        <f>VLOOKUP(E47,MD!$C$6:$K$105,3,FALSE())</f>
        <v>ALPS Handshake</v>
      </c>
      <c r="I47" s="216" t="s">
        <v>601</v>
      </c>
      <c r="J47" s="225" t="str">
        <f>VLOOKUP(G47,MD!$C$6:$K$105,3,FALSE())</f>
        <v xml:space="preserve">Ivan &amp; Pak </v>
      </c>
      <c r="K47" s="226">
        <v>2</v>
      </c>
      <c r="L47" s="226">
        <f>21+21</f>
        <v>42</v>
      </c>
      <c r="M47" s="226">
        <f>17+18</f>
        <v>35</v>
      </c>
      <c r="N47" s="226">
        <v>0</v>
      </c>
      <c r="O47" s="227" t="s">
        <v>660</v>
      </c>
      <c r="P47" s="21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2:30">
      <c r="B48" s="240">
        <v>43</v>
      </c>
      <c r="C48" s="251" t="s">
        <v>431</v>
      </c>
      <c r="D48" s="246">
        <v>1</v>
      </c>
      <c r="E48" s="247" t="s">
        <v>112</v>
      </c>
      <c r="F48" s="234" t="s">
        <v>601</v>
      </c>
      <c r="G48" s="234" t="s">
        <v>661</v>
      </c>
      <c r="H48" s="225" t="str">
        <f>VLOOKUP(E48,MD!$C$6:$K$105,3,FALSE())</f>
        <v>ALPS-咪估</v>
      </c>
      <c r="I48" s="216" t="s">
        <v>601</v>
      </c>
      <c r="J48" s="225" t="s">
        <v>289</v>
      </c>
      <c r="K48" s="226">
        <v>2</v>
      </c>
      <c r="L48" s="226">
        <f>21+21</f>
        <v>42</v>
      </c>
      <c r="M48" s="226">
        <f>10+12</f>
        <v>22</v>
      </c>
      <c r="N48" s="226">
        <v>0</v>
      </c>
      <c r="O48" s="227" t="s">
        <v>662</v>
      </c>
      <c r="P48" s="21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2:30">
      <c r="B49" s="242">
        <v>44</v>
      </c>
      <c r="C49" s="251" t="s">
        <v>431</v>
      </c>
      <c r="D49" s="246">
        <v>2</v>
      </c>
      <c r="E49" s="247" t="s">
        <v>118</v>
      </c>
      <c r="F49" s="234" t="s">
        <v>601</v>
      </c>
      <c r="G49" s="234" t="s">
        <v>209</v>
      </c>
      <c r="H49" s="225" t="str">
        <f>VLOOKUP(E49,MD!$C$6:$K$105,3,FALSE())</f>
        <v>SCAA - 龖</v>
      </c>
      <c r="I49" s="216" t="s">
        <v>601</v>
      </c>
      <c r="J49" s="225" t="str">
        <f>VLOOKUP(G49,MD!$C$6:$K$105,3,FALSE())</f>
        <v>仁仔</v>
      </c>
      <c r="K49" s="226">
        <v>2</v>
      </c>
      <c r="L49" s="226">
        <v>0</v>
      </c>
      <c r="M49" s="226">
        <v>0</v>
      </c>
      <c r="N49" s="226">
        <v>0</v>
      </c>
      <c r="O49" s="219" t="s">
        <v>663</v>
      </c>
      <c r="P49" s="21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2:30">
      <c r="B50" s="242">
        <v>45</v>
      </c>
      <c r="C50" s="232" t="s">
        <v>431</v>
      </c>
      <c r="D50" s="233">
        <v>3</v>
      </c>
      <c r="E50" s="234" t="s">
        <v>112</v>
      </c>
      <c r="F50" s="234" t="s">
        <v>601</v>
      </c>
      <c r="G50" s="234" t="s">
        <v>209</v>
      </c>
      <c r="H50" s="225" t="str">
        <f>VLOOKUP(E50,MD!$C$6:$K$105,3,FALSE())</f>
        <v>ALPS-咪估</v>
      </c>
      <c r="I50" s="216" t="s">
        <v>601</v>
      </c>
      <c r="J50" s="225" t="str">
        <f>VLOOKUP(G50,MD!$C$6:$K$105,3,FALSE())</f>
        <v>仁仔</v>
      </c>
      <c r="K50" s="226">
        <v>2</v>
      </c>
      <c r="L50" s="226">
        <v>0</v>
      </c>
      <c r="M50" s="226">
        <v>0</v>
      </c>
      <c r="N50" s="226">
        <v>0</v>
      </c>
      <c r="O50" s="219" t="s">
        <v>663</v>
      </c>
      <c r="P50" s="219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>
      <c r="B51" s="242">
        <v>46</v>
      </c>
      <c r="C51" s="251" t="s">
        <v>431</v>
      </c>
      <c r="D51" s="246">
        <v>4</v>
      </c>
      <c r="E51" s="247" t="s">
        <v>118</v>
      </c>
      <c r="F51" s="234" t="s">
        <v>601</v>
      </c>
      <c r="G51" s="234" t="s">
        <v>661</v>
      </c>
      <c r="H51" s="225" t="str">
        <f>VLOOKUP(E51,MD!$C$6:$K$105,3,FALSE())</f>
        <v>SCAA - 龖</v>
      </c>
      <c r="I51" s="216" t="s">
        <v>601</v>
      </c>
      <c r="J51" s="225" t="s">
        <v>289</v>
      </c>
      <c r="K51" s="226">
        <v>2</v>
      </c>
      <c r="L51" s="226">
        <f>21+21</f>
        <v>42</v>
      </c>
      <c r="M51" s="226">
        <f>5+10</f>
        <v>15</v>
      </c>
      <c r="N51" s="226">
        <v>0</v>
      </c>
      <c r="O51" s="227" t="s">
        <v>664</v>
      </c>
      <c r="P51" s="219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2:30">
      <c r="B52" s="240">
        <v>47</v>
      </c>
      <c r="C52" s="251" t="s">
        <v>431</v>
      </c>
      <c r="D52" s="246">
        <v>5</v>
      </c>
      <c r="E52" s="247" t="s">
        <v>209</v>
      </c>
      <c r="F52" s="234" t="s">
        <v>601</v>
      </c>
      <c r="G52" s="234" t="s">
        <v>661</v>
      </c>
      <c r="H52" s="225" t="str">
        <f>VLOOKUP(E52,MD!$C$6:$K$105,3,FALSE())</f>
        <v>仁仔</v>
      </c>
      <c r="I52" s="216" t="s">
        <v>601</v>
      </c>
      <c r="J52" s="225" t="s">
        <v>289</v>
      </c>
      <c r="K52" s="226">
        <v>1</v>
      </c>
      <c r="L52" s="226">
        <f>16+21</f>
        <v>37</v>
      </c>
      <c r="M52" s="226">
        <f>21+17</f>
        <v>38</v>
      </c>
      <c r="N52" s="226">
        <v>1</v>
      </c>
      <c r="O52" s="227" t="s">
        <v>665</v>
      </c>
      <c r="P52" s="219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2:30">
      <c r="B53" s="242">
        <v>48</v>
      </c>
      <c r="C53" s="252" t="s">
        <v>431</v>
      </c>
      <c r="D53" s="238">
        <v>6</v>
      </c>
      <c r="E53" s="250" t="s">
        <v>112</v>
      </c>
      <c r="F53" s="239" t="s">
        <v>601</v>
      </c>
      <c r="G53" s="239" t="s">
        <v>118</v>
      </c>
      <c r="H53" s="225" t="str">
        <f>VLOOKUP(E53,MD!$C$6:$K$105,3,FALSE())</f>
        <v>ALPS-咪估</v>
      </c>
      <c r="I53" s="216" t="s">
        <v>601</v>
      </c>
      <c r="J53" s="225" t="str">
        <f>VLOOKUP(G53,MD!$C$6:$K$105,3,FALSE())</f>
        <v>SCAA - 龖</v>
      </c>
      <c r="K53" s="226">
        <v>0</v>
      </c>
      <c r="L53" s="226">
        <f>20+13</f>
        <v>33</v>
      </c>
      <c r="M53" s="226">
        <f>22+21</f>
        <v>43</v>
      </c>
      <c r="N53" s="226">
        <v>2</v>
      </c>
      <c r="O53" s="227" t="s">
        <v>666</v>
      </c>
      <c r="P53" s="219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2:30" hidden="1">
      <c r="B54" s="253"/>
      <c r="C54" s="253"/>
      <c r="D54" s="253"/>
      <c r="E54" s="253"/>
      <c r="F54" s="253"/>
      <c r="G54" s="253"/>
      <c r="H54" s="254" t="e">
        <f>VLOOKUP(E54,#REF!,3,FALSE())</f>
        <v>#REF!</v>
      </c>
      <c r="I54" s="209"/>
      <c r="J54" s="254">
        <f>VLOOKUP(G54,MD!$C$6:$K$105,3,FALSE())</f>
        <v>0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>
      <c r="H55" s="209"/>
      <c r="I55" s="209"/>
      <c r="J55" s="209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</sheetData>
  <mergeCells count="4">
    <mergeCell ref="C4:D4"/>
    <mergeCell ref="E4:G4"/>
    <mergeCell ref="C5:D5"/>
    <mergeCell ref="E5:G5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115"/>
  <sheetViews>
    <sheetView topLeftCell="A32" zoomScale="70" zoomScaleNormal="70" workbookViewId="0">
      <selection activeCell="U63" sqref="U63"/>
    </sheetView>
  </sheetViews>
  <sheetFormatPr defaultColWidth="7.6640625" defaultRowHeight="21"/>
  <cols>
    <col min="1" max="1" width="3.6640625" style="15" customWidth="1"/>
    <col min="2" max="2" width="9" style="15" customWidth="1"/>
    <col min="3" max="3" width="9" style="15" hidden="1" customWidth="1"/>
    <col min="4" max="4" width="9" style="15" customWidth="1"/>
    <col min="5" max="5" width="26.109375" style="16" customWidth="1"/>
    <col min="6" max="6" width="20.77734375" style="16" customWidth="1"/>
    <col min="7" max="7" width="12" style="16" customWidth="1"/>
    <col min="8" max="8" width="7.33203125" style="16" customWidth="1"/>
    <col min="9" max="9" width="20.77734375" style="16" customWidth="1"/>
    <col min="10" max="10" width="12" style="16" customWidth="1"/>
    <col min="11" max="11" width="7.33203125" style="16" customWidth="1"/>
    <col min="12" max="12" width="12.88671875" style="16" customWidth="1"/>
    <col min="13" max="13" width="16.21875" style="15" customWidth="1"/>
    <col min="14" max="14" width="30.77734375" style="17" customWidth="1"/>
    <col min="15" max="15" width="17.5546875" style="15" customWidth="1"/>
    <col min="16" max="17" width="10.77734375" style="16" customWidth="1"/>
    <col min="18" max="19" width="7.6640625" style="15"/>
    <col min="20" max="20" width="8.5546875" style="15" bestFit="1" customWidth="1"/>
    <col min="21" max="1024" width="7.6640625" style="15"/>
  </cols>
  <sheetData>
    <row r="1" spans="1:21" ht="21" customHeight="1">
      <c r="B1" s="18" t="s">
        <v>44</v>
      </c>
      <c r="C1" s="19"/>
      <c r="D1" s="19"/>
      <c r="E1" s="20"/>
      <c r="F1" s="19"/>
      <c r="G1" s="19"/>
      <c r="H1" s="19"/>
      <c r="I1" s="19"/>
      <c r="J1" s="19"/>
      <c r="K1" s="19"/>
      <c r="L1" s="19"/>
      <c r="M1" s="21"/>
    </row>
    <row r="2" spans="1:21" ht="21" customHeight="1">
      <c r="B2" s="22" t="s">
        <v>45</v>
      </c>
      <c r="C2" s="22"/>
      <c r="D2" s="22"/>
      <c r="E2" s="19"/>
      <c r="F2" s="19"/>
      <c r="G2" s="19"/>
      <c r="H2" s="19"/>
      <c r="I2" s="19"/>
      <c r="J2" s="19"/>
      <c r="K2" s="20"/>
      <c r="L2" s="20"/>
      <c r="M2" s="21"/>
    </row>
    <row r="3" spans="1:21" ht="21" customHeight="1">
      <c r="B3" s="23" t="s">
        <v>46</v>
      </c>
      <c r="C3" s="24"/>
      <c r="D3" s="24"/>
      <c r="E3" s="17"/>
      <c r="F3" s="17"/>
      <c r="G3" s="17"/>
      <c r="H3" s="17"/>
      <c r="I3" s="17"/>
      <c r="J3" s="17"/>
      <c r="K3" s="17"/>
      <c r="L3" s="17"/>
      <c r="M3" s="25"/>
      <c r="N3" s="26"/>
      <c r="O3" s="27"/>
    </row>
    <row r="4" spans="1:21" ht="21" customHeight="1">
      <c r="B4" s="28" t="s">
        <v>47</v>
      </c>
      <c r="C4" s="29" t="s">
        <v>48</v>
      </c>
      <c r="D4" s="30" t="s">
        <v>49</v>
      </c>
      <c r="E4" s="31" t="s">
        <v>50</v>
      </c>
      <c r="F4" s="32"/>
      <c r="G4" s="33"/>
      <c r="H4" s="34" t="s">
        <v>51</v>
      </c>
      <c r="I4" s="32"/>
      <c r="J4" s="33"/>
      <c r="K4" s="34" t="s">
        <v>51</v>
      </c>
      <c r="L4" s="32" t="s">
        <v>52</v>
      </c>
      <c r="M4" s="31" t="s">
        <v>53</v>
      </c>
      <c r="N4" s="35"/>
      <c r="O4" s="56"/>
    </row>
    <row r="5" spans="1:21" ht="21" customHeight="1">
      <c r="B5" s="255" t="s">
        <v>54</v>
      </c>
      <c r="C5" s="38" t="s">
        <v>55</v>
      </c>
      <c r="D5" s="39" t="s">
        <v>56</v>
      </c>
      <c r="E5" s="40" t="s">
        <v>57</v>
      </c>
      <c r="F5" s="41" t="s">
        <v>58</v>
      </c>
      <c r="G5" s="41" t="s">
        <v>59</v>
      </c>
      <c r="H5" s="42" t="s">
        <v>60</v>
      </c>
      <c r="I5" s="41" t="s">
        <v>61</v>
      </c>
      <c r="J5" s="41" t="s">
        <v>59</v>
      </c>
      <c r="K5" s="42" t="s">
        <v>60</v>
      </c>
      <c r="L5" s="43" t="s">
        <v>60</v>
      </c>
      <c r="M5" s="256" t="s">
        <v>55</v>
      </c>
      <c r="N5" s="40"/>
      <c r="O5" s="38" t="s">
        <v>62</v>
      </c>
      <c r="P5" s="17" t="s">
        <v>63</v>
      </c>
      <c r="Q5" s="17" t="s">
        <v>64</v>
      </c>
      <c r="R5" s="22"/>
      <c r="S5" s="22"/>
    </row>
    <row r="6" spans="1:21" ht="20.25" customHeight="1">
      <c r="A6" s="61"/>
      <c r="B6" s="70">
        <v>1</v>
      </c>
      <c r="C6" s="257" t="str">
        <f t="shared" ref="C6:C37" si="0">M6</f>
        <v>A1</v>
      </c>
      <c r="D6" s="258">
        <v>1</v>
      </c>
      <c r="E6" s="259" t="s">
        <v>667</v>
      </c>
      <c r="F6" s="260" t="s">
        <v>668</v>
      </c>
      <c r="G6" s="261" t="s">
        <v>669</v>
      </c>
      <c r="H6" s="258">
        <v>117</v>
      </c>
      <c r="I6" s="262" t="s">
        <v>670</v>
      </c>
      <c r="J6" s="258" t="s">
        <v>671</v>
      </c>
      <c r="K6" s="262">
        <v>117</v>
      </c>
      <c r="L6" s="263">
        <f t="shared" ref="L6:L37" si="1">H6+K6</f>
        <v>234</v>
      </c>
      <c r="M6" s="51" t="s">
        <v>70</v>
      </c>
      <c r="N6" s="52"/>
      <c r="O6" s="48"/>
      <c r="P6" s="16">
        <v>108</v>
      </c>
      <c r="Q6" s="16">
        <f>P6/2</f>
        <v>54</v>
      </c>
      <c r="S6" s="15" t="s">
        <v>560</v>
      </c>
      <c r="T6" s="15" t="s">
        <v>561</v>
      </c>
      <c r="U6" s="15" t="s">
        <v>1269</v>
      </c>
    </row>
    <row r="7" spans="1:21" ht="20.25" customHeight="1">
      <c r="A7" s="61"/>
      <c r="B7" s="70">
        <v>2</v>
      </c>
      <c r="C7" s="264" t="str">
        <f t="shared" si="0"/>
        <v>B1</v>
      </c>
      <c r="D7" s="55">
        <v>2</v>
      </c>
      <c r="E7" s="54" t="s">
        <v>672</v>
      </c>
      <c r="F7" s="56" t="s">
        <v>673</v>
      </c>
      <c r="G7" s="265" t="s">
        <v>674</v>
      </c>
      <c r="H7" s="56">
        <v>104</v>
      </c>
      <c r="I7" s="266" t="s">
        <v>675</v>
      </c>
      <c r="J7" s="55" t="s">
        <v>676</v>
      </c>
      <c r="K7" s="267">
        <v>97.5</v>
      </c>
      <c r="L7" s="263">
        <f t="shared" si="1"/>
        <v>201.5</v>
      </c>
      <c r="M7" s="58" t="s">
        <v>76</v>
      </c>
      <c r="N7" s="59"/>
      <c r="O7" s="56"/>
      <c r="P7" s="16">
        <v>96</v>
      </c>
      <c r="Q7" s="16">
        <f t="shared" ref="Q7:Q69" si="2">P7/2</f>
        <v>48</v>
      </c>
      <c r="S7" s="15" t="s">
        <v>562</v>
      </c>
      <c r="T7" s="15" t="s">
        <v>563</v>
      </c>
      <c r="U7" s="15" t="s">
        <v>667</v>
      </c>
    </row>
    <row r="8" spans="1:21" ht="20.25" customHeight="1">
      <c r="A8" s="61"/>
      <c r="B8" s="268">
        <v>3</v>
      </c>
      <c r="C8" s="266" t="str">
        <f t="shared" si="0"/>
        <v>C1</v>
      </c>
      <c r="D8" s="55">
        <v>3</v>
      </c>
      <c r="E8" s="54" t="s">
        <v>677</v>
      </c>
      <c r="F8" s="56" t="s">
        <v>678</v>
      </c>
      <c r="G8" s="57" t="s">
        <v>679</v>
      </c>
      <c r="H8" s="267">
        <v>100.5</v>
      </c>
      <c r="I8" s="56" t="s">
        <v>680</v>
      </c>
      <c r="J8" s="55" t="s">
        <v>681</v>
      </c>
      <c r="K8" s="56">
        <v>100.5</v>
      </c>
      <c r="L8" s="263">
        <f t="shared" si="1"/>
        <v>201</v>
      </c>
      <c r="M8" s="58" t="s">
        <v>82</v>
      </c>
      <c r="N8" s="59"/>
      <c r="O8" s="56"/>
      <c r="P8" s="16">
        <v>120</v>
      </c>
      <c r="Q8" s="16">
        <f t="shared" si="2"/>
        <v>60</v>
      </c>
      <c r="S8" s="15" t="s">
        <v>565</v>
      </c>
      <c r="T8" s="15" t="s">
        <v>566</v>
      </c>
      <c r="U8" s="15" t="s">
        <v>672</v>
      </c>
    </row>
    <row r="9" spans="1:21" ht="20.25" customHeight="1">
      <c r="A9" s="61"/>
      <c r="B9" s="268">
        <v>4</v>
      </c>
      <c r="C9" s="266" t="str">
        <f t="shared" si="0"/>
        <v>D1</v>
      </c>
      <c r="D9" s="55">
        <v>4</v>
      </c>
      <c r="E9" s="54" t="s">
        <v>682</v>
      </c>
      <c r="F9" s="56" t="s">
        <v>683</v>
      </c>
      <c r="G9" s="57" t="s">
        <v>684</v>
      </c>
      <c r="H9" s="56">
        <v>97.5</v>
      </c>
      <c r="I9" s="56" t="s">
        <v>685</v>
      </c>
      <c r="J9" s="55" t="s">
        <v>686</v>
      </c>
      <c r="K9" s="56">
        <v>94</v>
      </c>
      <c r="L9" s="263">
        <f t="shared" si="1"/>
        <v>191.5</v>
      </c>
      <c r="M9" s="58" t="s">
        <v>88</v>
      </c>
      <c r="N9" s="59"/>
      <c r="O9" s="56"/>
      <c r="P9" s="16">
        <v>84</v>
      </c>
      <c r="Q9" s="16">
        <f t="shared" si="2"/>
        <v>42</v>
      </c>
      <c r="S9" s="15" t="s">
        <v>567</v>
      </c>
      <c r="T9" s="15" t="s">
        <v>568</v>
      </c>
      <c r="U9" s="15" t="s">
        <v>1028</v>
      </c>
    </row>
    <row r="10" spans="1:21" ht="20.25" customHeight="1">
      <c r="A10" s="61"/>
      <c r="B10" s="70">
        <v>5</v>
      </c>
      <c r="C10" s="266" t="str">
        <f t="shared" si="0"/>
        <v>E1</v>
      </c>
      <c r="D10" s="55">
        <v>5</v>
      </c>
      <c r="E10" s="54" t="s">
        <v>687</v>
      </c>
      <c r="F10" s="56" t="s">
        <v>688</v>
      </c>
      <c r="G10" s="57" t="s">
        <v>689</v>
      </c>
      <c r="H10" s="56">
        <v>67.5</v>
      </c>
      <c r="I10" s="56" t="s">
        <v>690</v>
      </c>
      <c r="J10" s="55" t="s">
        <v>691</v>
      </c>
      <c r="K10" s="56">
        <v>67.5</v>
      </c>
      <c r="L10" s="263">
        <f t="shared" si="1"/>
        <v>135</v>
      </c>
      <c r="M10" s="58" t="s">
        <v>94</v>
      </c>
      <c r="N10" s="59"/>
      <c r="O10" s="56"/>
      <c r="P10" s="16">
        <v>48</v>
      </c>
      <c r="Q10" s="16">
        <f t="shared" si="2"/>
        <v>24</v>
      </c>
      <c r="S10" s="15" t="s">
        <v>569</v>
      </c>
      <c r="T10" s="15" t="s">
        <v>570</v>
      </c>
      <c r="U10" s="506">
        <v>1442</v>
      </c>
    </row>
    <row r="11" spans="1:21" ht="20.25" customHeight="1">
      <c r="A11" s="61"/>
      <c r="B11" s="268">
        <v>6</v>
      </c>
      <c r="C11" s="266" t="str">
        <f t="shared" si="0"/>
        <v>F1</v>
      </c>
      <c r="D11" s="55">
        <v>6</v>
      </c>
      <c r="E11" s="269" t="s">
        <v>692</v>
      </c>
      <c r="F11" s="56" t="s">
        <v>693</v>
      </c>
      <c r="G11" s="57" t="s">
        <v>694</v>
      </c>
      <c r="H11" s="56">
        <v>80.25</v>
      </c>
      <c r="I11" s="56" t="s">
        <v>695</v>
      </c>
      <c r="J11" s="55" t="s">
        <v>696</v>
      </c>
      <c r="K11" s="56">
        <v>51</v>
      </c>
      <c r="L11" s="263">
        <f t="shared" si="1"/>
        <v>131.25</v>
      </c>
      <c r="M11" s="58" t="s">
        <v>100</v>
      </c>
      <c r="N11" s="59"/>
      <c r="O11" s="56"/>
      <c r="P11" s="16">
        <v>72</v>
      </c>
      <c r="Q11" s="16">
        <f t="shared" si="2"/>
        <v>36</v>
      </c>
      <c r="U11" s="15" t="s">
        <v>736</v>
      </c>
    </row>
    <row r="12" spans="1:21" ht="20.25" customHeight="1">
      <c r="A12" s="61"/>
      <c r="B12" s="268">
        <v>7</v>
      </c>
      <c r="C12" s="266" t="str">
        <f t="shared" si="0"/>
        <v>G1</v>
      </c>
      <c r="D12" s="55">
        <v>7</v>
      </c>
      <c r="E12" s="54" t="s">
        <v>697</v>
      </c>
      <c r="F12" s="56" t="s">
        <v>698</v>
      </c>
      <c r="G12" s="57" t="s">
        <v>699</v>
      </c>
      <c r="H12" s="56">
        <v>64.5</v>
      </c>
      <c r="I12" s="56" t="s">
        <v>700</v>
      </c>
      <c r="J12" s="55" t="s">
        <v>701</v>
      </c>
      <c r="K12" s="56">
        <v>64.5</v>
      </c>
      <c r="L12" s="263">
        <f t="shared" si="1"/>
        <v>129</v>
      </c>
      <c r="M12" s="58" t="s">
        <v>106</v>
      </c>
      <c r="N12" s="59"/>
      <c r="O12" s="56"/>
      <c r="P12" s="16">
        <v>54</v>
      </c>
      <c r="Q12" s="16">
        <f t="shared" si="2"/>
        <v>27</v>
      </c>
      <c r="U12" s="15" t="s">
        <v>1013</v>
      </c>
    </row>
    <row r="13" spans="1:21" ht="20.25" customHeight="1">
      <c r="A13" s="61"/>
      <c r="B13" s="70">
        <v>8</v>
      </c>
      <c r="C13" s="266" t="str">
        <f t="shared" si="0"/>
        <v>H1</v>
      </c>
      <c r="D13" s="55">
        <v>8</v>
      </c>
      <c r="E13" s="270" t="s">
        <v>702</v>
      </c>
      <c r="F13" s="36" t="s">
        <v>703</v>
      </c>
      <c r="G13" s="271" t="s">
        <v>704</v>
      </c>
      <c r="H13" s="56">
        <v>91.5</v>
      </c>
      <c r="I13" s="56" t="s">
        <v>705</v>
      </c>
      <c r="J13" s="272" t="s">
        <v>706</v>
      </c>
      <c r="K13" s="56">
        <v>24</v>
      </c>
      <c r="L13" s="263">
        <f t="shared" si="1"/>
        <v>115.5</v>
      </c>
      <c r="M13" s="58" t="s">
        <v>112</v>
      </c>
      <c r="N13" s="59"/>
      <c r="O13" s="56"/>
      <c r="P13" s="16">
        <v>48</v>
      </c>
      <c r="Q13" s="16">
        <f t="shared" si="2"/>
        <v>24</v>
      </c>
      <c r="U13" s="15" t="s">
        <v>692</v>
      </c>
    </row>
    <row r="14" spans="1:21" ht="20.25" customHeight="1">
      <c r="A14" s="61"/>
      <c r="B14" s="268">
        <v>9</v>
      </c>
      <c r="C14" s="266" t="str">
        <f t="shared" si="0"/>
        <v>H2</v>
      </c>
      <c r="D14" s="55">
        <v>9</v>
      </c>
      <c r="E14" s="56" t="s">
        <v>707</v>
      </c>
      <c r="F14" s="56" t="s">
        <v>708</v>
      </c>
      <c r="G14" s="273" t="s">
        <v>709</v>
      </c>
      <c r="H14" s="56">
        <v>54</v>
      </c>
      <c r="I14" s="48" t="s">
        <v>710</v>
      </c>
      <c r="J14" s="55" t="s">
        <v>711</v>
      </c>
      <c r="K14" s="56">
        <v>54</v>
      </c>
      <c r="L14" s="263">
        <f t="shared" si="1"/>
        <v>108</v>
      </c>
      <c r="M14" s="63" t="s">
        <v>118</v>
      </c>
      <c r="N14" s="59"/>
      <c r="O14" s="56"/>
      <c r="P14" s="16">
        <v>54</v>
      </c>
      <c r="Q14" s="16">
        <f t="shared" si="2"/>
        <v>27</v>
      </c>
      <c r="S14" s="15" t="s">
        <v>571</v>
      </c>
      <c r="T14" s="15" t="s">
        <v>572</v>
      </c>
      <c r="U14" s="15" t="s">
        <v>776</v>
      </c>
    </row>
    <row r="15" spans="1:21" ht="20.25" customHeight="1">
      <c r="A15" s="61"/>
      <c r="B15" s="268">
        <v>10</v>
      </c>
      <c r="C15" s="266" t="str">
        <f t="shared" si="0"/>
        <v>G2</v>
      </c>
      <c r="D15" s="55">
        <v>10</v>
      </c>
      <c r="E15" s="48" t="s">
        <v>712</v>
      </c>
      <c r="F15" s="48" t="s">
        <v>713</v>
      </c>
      <c r="G15" s="57" t="s">
        <v>714</v>
      </c>
      <c r="H15" s="56">
        <v>49.5</v>
      </c>
      <c r="I15" s="56" t="s">
        <v>715</v>
      </c>
      <c r="J15" s="55" t="s">
        <v>716</v>
      </c>
      <c r="K15" s="56">
        <v>49.5</v>
      </c>
      <c r="L15" s="263">
        <f t="shared" si="1"/>
        <v>99</v>
      </c>
      <c r="M15" s="58" t="s">
        <v>124</v>
      </c>
      <c r="N15" s="59"/>
      <c r="O15" s="56"/>
      <c r="P15" s="16">
        <v>36</v>
      </c>
      <c r="Q15" s="16">
        <f t="shared" si="2"/>
        <v>18</v>
      </c>
      <c r="U15" s="15" t="s">
        <v>1284</v>
      </c>
    </row>
    <row r="16" spans="1:21" ht="20.25" customHeight="1">
      <c r="A16" s="61"/>
      <c r="B16" s="70">
        <v>11</v>
      </c>
      <c r="C16" s="266" t="str">
        <f t="shared" si="0"/>
        <v>F2</v>
      </c>
      <c r="D16" s="55">
        <v>11</v>
      </c>
      <c r="E16" s="55" t="s">
        <v>717</v>
      </c>
      <c r="F16" s="56" t="s">
        <v>718</v>
      </c>
      <c r="G16" s="57" t="s">
        <v>719</v>
      </c>
      <c r="H16" s="56">
        <v>96</v>
      </c>
      <c r="I16" s="56" t="s">
        <v>720</v>
      </c>
      <c r="J16" s="55" t="s">
        <v>721</v>
      </c>
      <c r="K16" s="56">
        <v>0</v>
      </c>
      <c r="L16" s="263">
        <f t="shared" si="1"/>
        <v>96</v>
      </c>
      <c r="M16" s="58" t="s">
        <v>130</v>
      </c>
      <c r="N16" s="59"/>
      <c r="O16" s="56"/>
      <c r="P16" s="16">
        <v>72</v>
      </c>
      <c r="Q16" s="16">
        <f t="shared" si="2"/>
        <v>36</v>
      </c>
      <c r="U16" s="15" t="s">
        <v>884</v>
      </c>
    </row>
    <row r="17" spans="1:21" ht="20.25" customHeight="1">
      <c r="A17" s="61"/>
      <c r="B17" s="268">
        <v>12</v>
      </c>
      <c r="C17" s="266" t="str">
        <f t="shared" si="0"/>
        <v>E2</v>
      </c>
      <c r="D17" s="55">
        <v>12</v>
      </c>
      <c r="E17" s="56" t="s">
        <v>722</v>
      </c>
      <c r="F17" s="56" t="s">
        <v>723</v>
      </c>
      <c r="G17" s="57" t="s">
        <v>724</v>
      </c>
      <c r="H17" s="56">
        <v>49.5</v>
      </c>
      <c r="I17" s="56" t="s">
        <v>725</v>
      </c>
      <c r="J17" s="55" t="s">
        <v>726</v>
      </c>
      <c r="K17" s="56">
        <v>39</v>
      </c>
      <c r="L17" s="263">
        <f t="shared" si="1"/>
        <v>88.5</v>
      </c>
      <c r="M17" s="58" t="s">
        <v>136</v>
      </c>
      <c r="N17" s="59"/>
      <c r="O17" s="56"/>
      <c r="P17" s="16">
        <v>36</v>
      </c>
      <c r="Q17" s="16">
        <f t="shared" si="2"/>
        <v>18</v>
      </c>
      <c r="U17" s="15" t="s">
        <v>781</v>
      </c>
    </row>
    <row r="18" spans="1:21" ht="20.25" customHeight="1">
      <c r="A18" s="61"/>
      <c r="B18" s="268">
        <v>13</v>
      </c>
      <c r="C18" s="266" t="str">
        <f t="shared" si="0"/>
        <v>D2</v>
      </c>
      <c r="D18" s="55">
        <v>13</v>
      </c>
      <c r="E18" s="55" t="s">
        <v>727</v>
      </c>
      <c r="F18" s="56" t="s">
        <v>728</v>
      </c>
      <c r="G18" s="57" t="s">
        <v>729</v>
      </c>
      <c r="H18" s="56">
        <v>58</v>
      </c>
      <c r="I18" s="56" t="s">
        <v>730</v>
      </c>
      <c r="J18" s="55" t="s">
        <v>731</v>
      </c>
      <c r="K18" s="56">
        <v>30</v>
      </c>
      <c r="L18" s="263">
        <f t="shared" si="1"/>
        <v>88</v>
      </c>
      <c r="M18" s="58" t="s">
        <v>142</v>
      </c>
      <c r="N18" s="59"/>
      <c r="O18" s="56"/>
      <c r="P18" s="16">
        <v>48</v>
      </c>
      <c r="Q18" s="16">
        <f t="shared" si="2"/>
        <v>24</v>
      </c>
      <c r="U18" s="15" t="s">
        <v>760</v>
      </c>
    </row>
    <row r="19" spans="1:21" ht="20.25" customHeight="1">
      <c r="A19" s="61"/>
      <c r="B19" s="70">
        <v>14</v>
      </c>
      <c r="C19" s="266" t="str">
        <f t="shared" si="0"/>
        <v>C2</v>
      </c>
      <c r="D19" s="55">
        <v>14</v>
      </c>
      <c r="E19" s="56">
        <v>1442</v>
      </c>
      <c r="F19" s="56" t="s">
        <v>732</v>
      </c>
      <c r="G19" s="57" t="s">
        <v>733</v>
      </c>
      <c r="H19" s="56">
        <v>45</v>
      </c>
      <c r="I19" s="56" t="s">
        <v>734</v>
      </c>
      <c r="J19" s="55" t="s">
        <v>735</v>
      </c>
      <c r="K19" s="56">
        <v>36</v>
      </c>
      <c r="L19" s="263">
        <f t="shared" si="1"/>
        <v>81</v>
      </c>
      <c r="M19" s="58" t="s">
        <v>148</v>
      </c>
      <c r="N19" s="59"/>
      <c r="O19" s="56"/>
      <c r="P19" s="16">
        <v>72</v>
      </c>
      <c r="Q19" s="16">
        <f t="shared" si="2"/>
        <v>36</v>
      </c>
      <c r="U19" s="15" t="s">
        <v>1002</v>
      </c>
    </row>
    <row r="20" spans="1:21" ht="20.25" customHeight="1">
      <c r="A20" s="61"/>
      <c r="B20" s="268">
        <v>15</v>
      </c>
      <c r="C20" s="266" t="str">
        <f t="shared" si="0"/>
        <v>B2</v>
      </c>
      <c r="D20" s="55">
        <v>15</v>
      </c>
      <c r="E20" s="56" t="s">
        <v>736</v>
      </c>
      <c r="F20" s="56" t="s">
        <v>737</v>
      </c>
      <c r="G20" s="57" t="s">
        <v>738</v>
      </c>
      <c r="H20" s="56">
        <v>79.5</v>
      </c>
      <c r="I20" s="56" t="s">
        <v>739</v>
      </c>
      <c r="J20" s="55" t="s">
        <v>740</v>
      </c>
      <c r="K20" s="56">
        <v>0</v>
      </c>
      <c r="L20" s="263">
        <f t="shared" si="1"/>
        <v>79.5</v>
      </c>
      <c r="M20" s="58" t="s">
        <v>154</v>
      </c>
      <c r="N20" s="59"/>
      <c r="O20" s="56"/>
      <c r="P20" s="16">
        <v>72</v>
      </c>
      <c r="Q20" s="16">
        <f t="shared" si="2"/>
        <v>36</v>
      </c>
      <c r="U20" s="15" t="s">
        <v>697</v>
      </c>
    </row>
    <row r="21" spans="1:21" ht="20.25" customHeight="1">
      <c r="A21" s="61"/>
      <c r="B21" s="268">
        <v>16</v>
      </c>
      <c r="C21" s="266" t="str">
        <f t="shared" si="0"/>
        <v>A2</v>
      </c>
      <c r="D21" s="55">
        <v>16</v>
      </c>
      <c r="E21" s="55" t="s">
        <v>741</v>
      </c>
      <c r="F21" s="56" t="s">
        <v>742</v>
      </c>
      <c r="G21" s="57" t="s">
        <v>743</v>
      </c>
      <c r="H21" s="56">
        <v>36</v>
      </c>
      <c r="I21" s="56" t="s">
        <v>744</v>
      </c>
      <c r="J21" s="55" t="s">
        <v>745</v>
      </c>
      <c r="K21" s="56">
        <v>36</v>
      </c>
      <c r="L21" s="263">
        <f t="shared" si="1"/>
        <v>72</v>
      </c>
      <c r="M21" s="58" t="s">
        <v>160</v>
      </c>
      <c r="N21" s="59"/>
      <c r="O21" s="56"/>
      <c r="P21" s="16">
        <v>48</v>
      </c>
      <c r="Q21" s="16">
        <f t="shared" si="2"/>
        <v>24</v>
      </c>
      <c r="U21" s="15" t="s">
        <v>765</v>
      </c>
    </row>
    <row r="22" spans="1:21" ht="20.25" customHeight="1">
      <c r="A22" s="61"/>
      <c r="B22" s="70">
        <v>17</v>
      </c>
      <c r="C22" s="266" t="str">
        <f t="shared" si="0"/>
        <v>A3</v>
      </c>
      <c r="D22" s="55">
        <v>17</v>
      </c>
      <c r="E22" s="55" t="s">
        <v>746</v>
      </c>
      <c r="F22" s="56" t="s">
        <v>747</v>
      </c>
      <c r="G22" s="66" t="s">
        <v>256</v>
      </c>
      <c r="H22" s="56">
        <v>0</v>
      </c>
      <c r="I22" s="56" t="s">
        <v>748</v>
      </c>
      <c r="J22" s="55" t="s">
        <v>749</v>
      </c>
      <c r="K22" s="56">
        <v>68.25</v>
      </c>
      <c r="L22" s="263">
        <f t="shared" si="1"/>
        <v>68.25</v>
      </c>
      <c r="M22" s="58" t="s">
        <v>166</v>
      </c>
      <c r="N22" s="59"/>
      <c r="O22" s="56"/>
      <c r="P22" s="16">
        <v>36</v>
      </c>
      <c r="Q22" s="16">
        <f t="shared" si="2"/>
        <v>18</v>
      </c>
      <c r="S22" s="15" t="s">
        <v>575</v>
      </c>
      <c r="T22" s="15" t="s">
        <v>576</v>
      </c>
      <c r="U22" s="15" t="s">
        <v>741</v>
      </c>
    </row>
    <row r="23" spans="1:21" ht="20.25" customHeight="1">
      <c r="A23" s="61"/>
      <c r="B23" s="268">
        <v>18</v>
      </c>
      <c r="C23" s="266" t="str">
        <f t="shared" si="0"/>
        <v>B3</v>
      </c>
      <c r="D23" s="55">
        <v>18</v>
      </c>
      <c r="E23" s="57" t="s">
        <v>750</v>
      </c>
      <c r="F23" s="62" t="s">
        <v>751</v>
      </c>
      <c r="G23" s="57" t="s">
        <v>752</v>
      </c>
      <c r="H23" s="56">
        <v>39</v>
      </c>
      <c r="I23" s="56" t="s">
        <v>753</v>
      </c>
      <c r="J23" s="55" t="s">
        <v>754</v>
      </c>
      <c r="K23" s="56">
        <v>27</v>
      </c>
      <c r="L23" s="263">
        <f t="shared" si="1"/>
        <v>66</v>
      </c>
      <c r="M23" s="58" t="s">
        <v>172</v>
      </c>
      <c r="N23" s="59"/>
      <c r="O23" s="56"/>
      <c r="P23" s="16">
        <v>36</v>
      </c>
      <c r="Q23" s="16">
        <f t="shared" si="2"/>
        <v>18</v>
      </c>
      <c r="U23" s="15" t="s">
        <v>826</v>
      </c>
    </row>
    <row r="24" spans="1:21" ht="20.25" customHeight="1">
      <c r="A24" s="61"/>
      <c r="B24" s="268">
        <v>19</v>
      </c>
      <c r="C24" s="266" t="str">
        <f t="shared" si="0"/>
        <v>C3</v>
      </c>
      <c r="D24" s="55">
        <v>19</v>
      </c>
      <c r="E24" s="56" t="s">
        <v>755</v>
      </c>
      <c r="F24" s="56" t="s">
        <v>756</v>
      </c>
      <c r="G24" s="57" t="s">
        <v>757</v>
      </c>
      <c r="H24" s="56">
        <v>35</v>
      </c>
      <c r="I24" s="56" t="s">
        <v>758</v>
      </c>
      <c r="J24" s="55" t="s">
        <v>759</v>
      </c>
      <c r="K24" s="56">
        <v>30</v>
      </c>
      <c r="L24" s="263">
        <f t="shared" si="1"/>
        <v>65</v>
      </c>
      <c r="M24" s="58" t="s">
        <v>178</v>
      </c>
      <c r="N24" s="59"/>
      <c r="O24" s="56"/>
      <c r="P24" s="16">
        <v>48</v>
      </c>
      <c r="Q24" s="16">
        <f t="shared" si="2"/>
        <v>24</v>
      </c>
      <c r="U24" s="15" t="s">
        <v>755</v>
      </c>
    </row>
    <row r="25" spans="1:21" ht="20.25" customHeight="1">
      <c r="A25" s="61"/>
      <c r="B25" s="70">
        <v>20</v>
      </c>
      <c r="C25" s="266" t="str">
        <f t="shared" si="0"/>
        <v>D3</v>
      </c>
      <c r="D25" s="55">
        <v>20</v>
      </c>
      <c r="E25" s="55" t="s">
        <v>760</v>
      </c>
      <c r="F25" s="56" t="s">
        <v>761</v>
      </c>
      <c r="G25" s="57" t="s">
        <v>762</v>
      </c>
      <c r="H25" s="56">
        <v>27</v>
      </c>
      <c r="I25" s="56" t="s">
        <v>763</v>
      </c>
      <c r="J25" s="55" t="s">
        <v>764</v>
      </c>
      <c r="K25" s="56">
        <v>27</v>
      </c>
      <c r="L25" s="263">
        <f t="shared" si="1"/>
        <v>54</v>
      </c>
      <c r="M25" s="58" t="s">
        <v>184</v>
      </c>
      <c r="N25" s="59"/>
      <c r="O25" s="56"/>
      <c r="P25" s="16">
        <v>54</v>
      </c>
      <c r="Q25" s="16">
        <f t="shared" si="2"/>
        <v>27</v>
      </c>
      <c r="U25" s="15" t="s">
        <v>1014</v>
      </c>
    </row>
    <row r="26" spans="1:21" ht="20.25" customHeight="1">
      <c r="A26" s="61"/>
      <c r="B26" s="268">
        <v>21</v>
      </c>
      <c r="C26" s="266" t="str">
        <f t="shared" si="0"/>
        <v>E3</v>
      </c>
      <c r="D26" s="55">
        <v>21</v>
      </c>
      <c r="E26" s="55" t="s">
        <v>765</v>
      </c>
      <c r="F26" s="56" t="s">
        <v>766</v>
      </c>
      <c r="G26" s="57" t="s">
        <v>767</v>
      </c>
      <c r="H26" s="56">
        <v>24</v>
      </c>
      <c r="I26" s="56" t="s">
        <v>768</v>
      </c>
      <c r="J26" s="55" t="s">
        <v>769</v>
      </c>
      <c r="K26" s="56">
        <v>24</v>
      </c>
      <c r="L26" s="263">
        <f t="shared" si="1"/>
        <v>48</v>
      </c>
      <c r="M26" s="58" t="s">
        <v>190</v>
      </c>
      <c r="N26" s="59"/>
      <c r="O26" s="56"/>
      <c r="P26" s="16">
        <v>54</v>
      </c>
      <c r="Q26" s="16">
        <f t="shared" si="2"/>
        <v>27</v>
      </c>
      <c r="U26" s="15" t="s">
        <v>687</v>
      </c>
    </row>
    <row r="27" spans="1:21" ht="20.25" customHeight="1">
      <c r="A27" s="61"/>
      <c r="B27" s="268">
        <v>22</v>
      </c>
      <c r="C27" s="266" t="str">
        <f t="shared" si="0"/>
        <v>F3</v>
      </c>
      <c r="D27" s="55">
        <v>22</v>
      </c>
      <c r="E27" s="55" t="s">
        <v>770</v>
      </c>
      <c r="F27" s="56" t="s">
        <v>771</v>
      </c>
      <c r="G27" s="57" t="s">
        <v>772</v>
      </c>
      <c r="H27" s="56">
        <v>18</v>
      </c>
      <c r="I27" s="56" t="s">
        <v>773</v>
      </c>
      <c r="J27" s="55" t="s">
        <v>774</v>
      </c>
      <c r="K27" s="56">
        <v>18</v>
      </c>
      <c r="L27" s="263">
        <f t="shared" si="1"/>
        <v>36</v>
      </c>
      <c r="M27" s="64" t="s">
        <v>196</v>
      </c>
      <c r="N27" s="65" t="s">
        <v>775</v>
      </c>
      <c r="O27" s="56"/>
      <c r="P27" s="16">
        <v>0</v>
      </c>
      <c r="Q27" s="16">
        <f t="shared" si="2"/>
        <v>0</v>
      </c>
      <c r="U27" s="15" t="s">
        <v>910</v>
      </c>
    </row>
    <row r="28" spans="1:21" ht="20.25" customHeight="1">
      <c r="A28" s="61"/>
      <c r="B28" s="70">
        <v>23</v>
      </c>
      <c r="C28" s="266" t="str">
        <f t="shared" si="0"/>
        <v>G3</v>
      </c>
      <c r="D28" s="55">
        <v>22</v>
      </c>
      <c r="E28" s="56" t="s">
        <v>776</v>
      </c>
      <c r="F28" s="56" t="s">
        <v>777</v>
      </c>
      <c r="G28" s="57" t="s">
        <v>778</v>
      </c>
      <c r="H28" s="56">
        <v>30</v>
      </c>
      <c r="I28" s="56" t="s">
        <v>779</v>
      </c>
      <c r="J28" s="55" t="s">
        <v>780</v>
      </c>
      <c r="K28" s="56">
        <v>6</v>
      </c>
      <c r="L28" s="263">
        <f t="shared" si="1"/>
        <v>36</v>
      </c>
      <c r="M28" s="64" t="s">
        <v>202</v>
      </c>
      <c r="N28" s="65" t="s">
        <v>775</v>
      </c>
      <c r="O28" s="56"/>
      <c r="P28" s="16">
        <v>54</v>
      </c>
      <c r="Q28" s="16">
        <f t="shared" si="2"/>
        <v>27</v>
      </c>
      <c r="U28" s="15" t="s">
        <v>702</v>
      </c>
    </row>
    <row r="29" spans="1:21" ht="20.25" customHeight="1">
      <c r="A29" s="61"/>
      <c r="B29" s="268">
        <v>24</v>
      </c>
      <c r="C29" s="266" t="str">
        <f t="shared" si="0"/>
        <v>H3</v>
      </c>
      <c r="D29" s="55">
        <v>22</v>
      </c>
      <c r="E29" s="56" t="s">
        <v>781</v>
      </c>
      <c r="F29" s="56" t="s">
        <v>782</v>
      </c>
      <c r="G29" s="57" t="s">
        <v>783</v>
      </c>
      <c r="H29" s="56">
        <v>36</v>
      </c>
      <c r="I29" s="56" t="s">
        <v>784</v>
      </c>
      <c r="J29" s="55" t="s">
        <v>785</v>
      </c>
      <c r="K29" s="56">
        <v>0</v>
      </c>
      <c r="L29" s="263">
        <f t="shared" si="1"/>
        <v>36</v>
      </c>
      <c r="M29" s="64" t="s">
        <v>209</v>
      </c>
      <c r="N29" s="65" t="s">
        <v>775</v>
      </c>
      <c r="O29" s="56"/>
      <c r="P29" s="16">
        <v>54</v>
      </c>
      <c r="Q29" s="16">
        <f t="shared" si="2"/>
        <v>27</v>
      </c>
      <c r="S29" s="15" t="s">
        <v>579</v>
      </c>
      <c r="T29" s="15" t="s">
        <v>580</v>
      </c>
      <c r="U29" s="15" t="s">
        <v>746</v>
      </c>
    </row>
    <row r="30" spans="1:21" ht="20.25" customHeight="1">
      <c r="A30" s="61"/>
      <c r="B30" s="268">
        <v>25</v>
      </c>
      <c r="C30" s="266" t="str">
        <f t="shared" si="0"/>
        <v>SEED#25</v>
      </c>
      <c r="D30" s="55">
        <v>25</v>
      </c>
      <c r="E30" s="55" t="s">
        <v>786</v>
      </c>
      <c r="F30" s="56" t="s">
        <v>787</v>
      </c>
      <c r="G30" s="57" t="s">
        <v>788</v>
      </c>
      <c r="H30" s="56">
        <v>27</v>
      </c>
      <c r="I30" s="56" t="s">
        <v>789</v>
      </c>
      <c r="J30" s="66" t="s">
        <v>256</v>
      </c>
      <c r="K30" s="56">
        <v>0</v>
      </c>
      <c r="L30" s="263">
        <f t="shared" si="1"/>
        <v>27</v>
      </c>
      <c r="M30" s="63" t="s">
        <v>215</v>
      </c>
      <c r="N30" s="59"/>
      <c r="O30" s="56"/>
      <c r="P30" s="16">
        <v>36</v>
      </c>
      <c r="Q30" s="16">
        <f t="shared" si="2"/>
        <v>18</v>
      </c>
      <c r="U30" s="15" t="s">
        <v>750</v>
      </c>
    </row>
    <row r="31" spans="1:21" ht="20.25" customHeight="1">
      <c r="A31" s="61"/>
      <c r="B31" s="70">
        <v>26</v>
      </c>
      <c r="C31" s="266" t="str">
        <f t="shared" si="0"/>
        <v>SEED#26</v>
      </c>
      <c r="D31" s="55">
        <v>26</v>
      </c>
      <c r="E31" s="56" t="s">
        <v>790</v>
      </c>
      <c r="F31" s="56" t="s">
        <v>791</v>
      </c>
      <c r="G31" s="57" t="s">
        <v>792</v>
      </c>
      <c r="H31" s="56">
        <v>0</v>
      </c>
      <c r="I31" s="56" t="s">
        <v>793</v>
      </c>
      <c r="J31" s="55" t="s">
        <v>794</v>
      </c>
      <c r="K31" s="56">
        <v>24</v>
      </c>
      <c r="L31" s="263">
        <f t="shared" si="1"/>
        <v>24</v>
      </c>
      <c r="M31" s="274" t="s">
        <v>221</v>
      </c>
      <c r="N31" s="65" t="s">
        <v>795</v>
      </c>
      <c r="O31" s="56"/>
      <c r="P31" s="16">
        <v>6</v>
      </c>
      <c r="Q31" s="16">
        <f t="shared" si="2"/>
        <v>3</v>
      </c>
      <c r="U31" s="15" t="s">
        <v>810</v>
      </c>
    </row>
    <row r="32" spans="1:21" ht="20.25" customHeight="1">
      <c r="A32" s="61"/>
      <c r="B32" s="268">
        <v>27</v>
      </c>
      <c r="C32" s="266" t="str">
        <f t="shared" si="0"/>
        <v>SEED#27</v>
      </c>
      <c r="D32" s="55">
        <v>26</v>
      </c>
      <c r="E32" s="55" t="s">
        <v>796</v>
      </c>
      <c r="F32" s="56" t="s">
        <v>797</v>
      </c>
      <c r="G32" s="57" t="s">
        <v>798</v>
      </c>
      <c r="H32" s="56">
        <v>24</v>
      </c>
      <c r="I32" s="56" t="s">
        <v>799</v>
      </c>
      <c r="J32" s="55" t="s">
        <v>800</v>
      </c>
      <c r="K32" s="56">
        <v>0</v>
      </c>
      <c r="L32" s="263">
        <f t="shared" si="1"/>
        <v>24</v>
      </c>
      <c r="M32" s="274" t="s">
        <v>227</v>
      </c>
      <c r="N32" s="65" t="s">
        <v>795</v>
      </c>
      <c r="O32" s="56"/>
      <c r="P32" s="16">
        <v>6</v>
      </c>
      <c r="Q32" s="16">
        <f t="shared" si="2"/>
        <v>3</v>
      </c>
      <c r="U32" s="15" t="s">
        <v>920</v>
      </c>
    </row>
    <row r="33" spans="1:21" ht="20.25" customHeight="1">
      <c r="A33" s="61"/>
      <c r="B33" s="268">
        <v>28</v>
      </c>
      <c r="C33" s="266" t="str">
        <f t="shared" si="0"/>
        <v>SEED#28</v>
      </c>
      <c r="D33" s="55">
        <v>28</v>
      </c>
      <c r="E33" s="56" t="s">
        <v>801</v>
      </c>
      <c r="F33" s="56" t="s">
        <v>802</v>
      </c>
      <c r="G33" s="57" t="s">
        <v>803</v>
      </c>
      <c r="H33" s="56">
        <v>22</v>
      </c>
      <c r="I33" s="56" t="s">
        <v>804</v>
      </c>
      <c r="J33" s="66" t="s">
        <v>256</v>
      </c>
      <c r="K33" s="56">
        <v>0</v>
      </c>
      <c r="L33" s="263">
        <f t="shared" si="1"/>
        <v>22</v>
      </c>
      <c r="M33" s="274" t="s">
        <v>233</v>
      </c>
      <c r="N33" s="65" t="s">
        <v>805</v>
      </c>
      <c r="O33" s="56"/>
      <c r="P33" s="16">
        <v>6</v>
      </c>
      <c r="Q33" s="16">
        <f t="shared" si="2"/>
        <v>3</v>
      </c>
      <c r="U33" s="15" t="s">
        <v>722</v>
      </c>
    </row>
    <row r="34" spans="1:21" ht="20.25" customHeight="1">
      <c r="A34" s="61"/>
      <c r="B34" s="70">
        <v>29</v>
      </c>
      <c r="C34" s="266" t="str">
        <f t="shared" si="0"/>
        <v>SEED#29</v>
      </c>
      <c r="D34" s="55">
        <v>28</v>
      </c>
      <c r="E34" s="56" t="s">
        <v>806</v>
      </c>
      <c r="F34" s="56" t="s">
        <v>807</v>
      </c>
      <c r="G34" s="66" t="s">
        <v>256</v>
      </c>
      <c r="H34" s="56">
        <v>0</v>
      </c>
      <c r="I34" s="56" t="s">
        <v>808</v>
      </c>
      <c r="J34" s="55" t="s">
        <v>809</v>
      </c>
      <c r="K34" s="56">
        <v>22</v>
      </c>
      <c r="L34" s="263">
        <f t="shared" si="1"/>
        <v>22</v>
      </c>
      <c r="M34" s="274" t="s">
        <v>239</v>
      </c>
      <c r="N34" s="65" t="s">
        <v>805</v>
      </c>
      <c r="O34" s="56"/>
      <c r="P34" s="16">
        <v>6</v>
      </c>
      <c r="Q34" s="16">
        <f t="shared" si="2"/>
        <v>3</v>
      </c>
      <c r="U34" s="15" t="s">
        <v>786</v>
      </c>
    </row>
    <row r="35" spans="1:21" ht="20.25" customHeight="1">
      <c r="A35" s="61"/>
      <c r="B35" s="268">
        <v>30</v>
      </c>
      <c r="C35" s="266" t="str">
        <f t="shared" si="0"/>
        <v>SEED#30</v>
      </c>
      <c r="D35" s="55">
        <v>30</v>
      </c>
      <c r="E35" s="55" t="s">
        <v>810</v>
      </c>
      <c r="F35" s="56" t="s">
        <v>811</v>
      </c>
      <c r="G35" s="57" t="s">
        <v>812</v>
      </c>
      <c r="H35" s="56">
        <v>15</v>
      </c>
      <c r="I35" s="56" t="s">
        <v>813</v>
      </c>
      <c r="J35" s="66" t="s">
        <v>256</v>
      </c>
      <c r="K35" s="275">
        <v>6</v>
      </c>
      <c r="L35" s="263">
        <f t="shared" si="1"/>
        <v>21</v>
      </c>
      <c r="M35" s="63" t="s">
        <v>245</v>
      </c>
      <c r="N35" s="65"/>
      <c r="O35" s="56"/>
      <c r="P35" s="16">
        <v>36</v>
      </c>
      <c r="Q35" s="16">
        <f t="shared" si="2"/>
        <v>18</v>
      </c>
      <c r="U35" s="15" t="s">
        <v>889</v>
      </c>
    </row>
    <row r="36" spans="1:21" ht="20.25" customHeight="1">
      <c r="A36" s="61"/>
      <c r="B36" s="70">
        <v>31</v>
      </c>
      <c r="C36" s="266" t="str">
        <f t="shared" si="0"/>
        <v>SEED#31</v>
      </c>
      <c r="D36" s="55">
        <v>31</v>
      </c>
      <c r="E36" s="55" t="s">
        <v>814</v>
      </c>
      <c r="F36" s="56" t="s">
        <v>815</v>
      </c>
      <c r="G36" s="66" t="s">
        <v>256</v>
      </c>
      <c r="H36" s="275">
        <v>9</v>
      </c>
      <c r="I36" s="56" t="s">
        <v>816</v>
      </c>
      <c r="J36" s="66" t="s">
        <v>256</v>
      </c>
      <c r="K36" s="275">
        <v>9</v>
      </c>
      <c r="L36" s="263">
        <f t="shared" si="1"/>
        <v>18</v>
      </c>
      <c r="M36" s="63" t="s">
        <v>251</v>
      </c>
      <c r="N36" s="276"/>
      <c r="O36" s="56"/>
      <c r="P36" s="16">
        <v>6</v>
      </c>
      <c r="Q36" s="16">
        <f t="shared" si="2"/>
        <v>3</v>
      </c>
      <c r="U36" s="15" t="s">
        <v>712</v>
      </c>
    </row>
    <row r="37" spans="1:21" ht="20.25" customHeight="1">
      <c r="A37" s="61"/>
      <c r="B37" s="70">
        <v>32</v>
      </c>
      <c r="C37" s="266" t="str">
        <f t="shared" si="0"/>
        <v>SEED#32</v>
      </c>
      <c r="D37" s="47">
        <v>32</v>
      </c>
      <c r="E37" s="48" t="s">
        <v>817</v>
      </c>
      <c r="F37" s="48" t="s">
        <v>818</v>
      </c>
      <c r="G37" s="66" t="s">
        <v>256</v>
      </c>
      <c r="H37" s="48">
        <v>0</v>
      </c>
      <c r="I37" s="48" t="s">
        <v>819</v>
      </c>
      <c r="J37" s="55" t="s">
        <v>820</v>
      </c>
      <c r="K37" s="46">
        <v>16.5</v>
      </c>
      <c r="L37" s="263">
        <f t="shared" si="1"/>
        <v>16.5</v>
      </c>
      <c r="M37" s="63" t="s">
        <v>257</v>
      </c>
      <c r="N37" s="69"/>
      <c r="O37" s="48"/>
      <c r="P37" s="16">
        <v>6</v>
      </c>
      <c r="Q37" s="16">
        <f t="shared" si="2"/>
        <v>3</v>
      </c>
      <c r="S37" s="15" t="s">
        <v>582</v>
      </c>
      <c r="T37" s="15" t="s">
        <v>583</v>
      </c>
      <c r="U37" s="15" t="s">
        <v>938</v>
      </c>
    </row>
    <row r="38" spans="1:21" ht="20.25" customHeight="1">
      <c r="A38" s="61"/>
      <c r="B38" s="70">
        <v>33</v>
      </c>
      <c r="C38" s="266" t="str">
        <f t="shared" ref="C38:C70" si="3">M38</f>
        <v>SEED#33</v>
      </c>
      <c r="D38" s="55">
        <v>33</v>
      </c>
      <c r="E38" s="55" t="s">
        <v>821</v>
      </c>
      <c r="F38" s="56" t="s">
        <v>822</v>
      </c>
      <c r="G38" s="57" t="s">
        <v>823</v>
      </c>
      <c r="H38" s="56">
        <v>0</v>
      </c>
      <c r="I38" s="56" t="s">
        <v>824</v>
      </c>
      <c r="J38" s="55" t="s">
        <v>825</v>
      </c>
      <c r="K38" s="269">
        <v>15</v>
      </c>
      <c r="L38" s="263">
        <f t="shared" ref="L38:L69" si="4">H38+K38</f>
        <v>15</v>
      </c>
      <c r="M38" s="63" t="s">
        <v>263</v>
      </c>
      <c r="N38" s="65"/>
      <c r="O38" s="56"/>
      <c r="P38" s="16">
        <v>54</v>
      </c>
      <c r="Q38" s="16">
        <f t="shared" si="2"/>
        <v>27</v>
      </c>
      <c r="U38" s="15" t="s">
        <v>857</v>
      </c>
    </row>
    <row r="39" spans="1:21" ht="20.25" customHeight="1">
      <c r="A39" s="61"/>
      <c r="B39" s="70">
        <v>34</v>
      </c>
      <c r="C39" s="266" t="str">
        <f t="shared" si="3"/>
        <v>SEED#34</v>
      </c>
      <c r="D39" s="55">
        <v>34</v>
      </c>
      <c r="E39" s="55" t="s">
        <v>826</v>
      </c>
      <c r="F39" s="56" t="s">
        <v>827</v>
      </c>
      <c r="G39" s="57" t="s">
        <v>828</v>
      </c>
      <c r="H39" s="56">
        <v>13.5</v>
      </c>
      <c r="I39" s="56" t="s">
        <v>829</v>
      </c>
      <c r="J39" s="55" t="s">
        <v>830</v>
      </c>
      <c r="K39" s="269">
        <v>0</v>
      </c>
      <c r="L39" s="263">
        <f t="shared" si="4"/>
        <v>13.5</v>
      </c>
      <c r="M39" s="63" t="s">
        <v>269</v>
      </c>
      <c r="N39" s="65"/>
      <c r="O39" s="56"/>
      <c r="P39" s="16">
        <v>48</v>
      </c>
      <c r="Q39" s="16">
        <f t="shared" si="2"/>
        <v>24</v>
      </c>
      <c r="U39" s="15" t="s">
        <v>878</v>
      </c>
    </row>
    <row r="40" spans="1:21" ht="20.25" customHeight="1">
      <c r="A40" s="61"/>
      <c r="B40" s="70">
        <v>35</v>
      </c>
      <c r="C40" s="266" t="str">
        <f t="shared" si="3"/>
        <v>SEED#35</v>
      </c>
      <c r="D40" s="55">
        <v>35</v>
      </c>
      <c r="E40" s="55" t="s">
        <v>831</v>
      </c>
      <c r="F40" s="56" t="s">
        <v>832</v>
      </c>
      <c r="G40" s="66" t="s">
        <v>256</v>
      </c>
      <c r="H40" s="275">
        <v>4</v>
      </c>
      <c r="I40" s="56" t="s">
        <v>833</v>
      </c>
      <c r="J40" s="66" t="s">
        <v>256</v>
      </c>
      <c r="K40" s="269">
        <v>0</v>
      </c>
      <c r="L40" s="263">
        <f t="shared" si="4"/>
        <v>4</v>
      </c>
      <c r="M40" s="63" t="s">
        <v>275</v>
      </c>
      <c r="N40" s="65"/>
      <c r="O40" s="56"/>
      <c r="P40" s="16">
        <v>6</v>
      </c>
      <c r="Q40" s="16">
        <f t="shared" si="2"/>
        <v>3</v>
      </c>
      <c r="U40" s="15" t="s">
        <v>845</v>
      </c>
    </row>
    <row r="41" spans="1:21" ht="20.25" customHeight="1">
      <c r="A41" s="61"/>
      <c r="B41" s="70">
        <v>36</v>
      </c>
      <c r="C41" s="266" t="str">
        <f t="shared" si="3"/>
        <v>SEED#57</v>
      </c>
      <c r="D41" s="55">
        <v>36</v>
      </c>
      <c r="E41" s="55" t="s">
        <v>834</v>
      </c>
      <c r="F41" s="56" t="s">
        <v>835</v>
      </c>
      <c r="G41" s="57" t="s">
        <v>836</v>
      </c>
      <c r="H41" s="56">
        <v>0</v>
      </c>
      <c r="I41" s="56" t="s">
        <v>837</v>
      </c>
      <c r="J41" s="55" t="s">
        <v>838</v>
      </c>
      <c r="K41" s="269">
        <v>0</v>
      </c>
      <c r="L41" s="263">
        <f t="shared" si="4"/>
        <v>0</v>
      </c>
      <c r="M41" s="274" t="s">
        <v>391</v>
      </c>
      <c r="N41" s="65" t="s">
        <v>839</v>
      </c>
      <c r="O41" s="56"/>
      <c r="P41" s="16">
        <v>6</v>
      </c>
      <c r="Q41" s="16">
        <f t="shared" si="2"/>
        <v>3</v>
      </c>
      <c r="U41" s="15" t="s">
        <v>1285</v>
      </c>
    </row>
    <row r="42" spans="1:21" ht="20.25" customHeight="1">
      <c r="A42" s="61"/>
      <c r="B42" s="70">
        <v>37</v>
      </c>
      <c r="C42" s="266" t="str">
        <f t="shared" si="3"/>
        <v>SEED#55</v>
      </c>
      <c r="D42" s="55">
        <v>36</v>
      </c>
      <c r="E42" s="56" t="s">
        <v>840</v>
      </c>
      <c r="F42" s="56" t="s">
        <v>841</v>
      </c>
      <c r="G42" s="57" t="s">
        <v>842</v>
      </c>
      <c r="H42" s="56">
        <v>0</v>
      </c>
      <c r="I42" s="56" t="s">
        <v>843</v>
      </c>
      <c r="J42" s="55" t="s">
        <v>844</v>
      </c>
      <c r="K42" s="269">
        <v>0</v>
      </c>
      <c r="L42" s="263">
        <f t="shared" si="4"/>
        <v>0</v>
      </c>
      <c r="M42" s="274" t="s">
        <v>397</v>
      </c>
      <c r="N42" s="65" t="s">
        <v>839</v>
      </c>
      <c r="O42" s="56"/>
      <c r="P42" s="16">
        <v>6</v>
      </c>
      <c r="Q42" s="16">
        <f t="shared" si="2"/>
        <v>3</v>
      </c>
      <c r="U42" s="15" t="s">
        <v>831</v>
      </c>
    </row>
    <row r="43" spans="1:21" ht="20.25" customHeight="1">
      <c r="A43" s="61"/>
      <c r="B43" s="70">
        <v>38</v>
      </c>
      <c r="C43" s="266" t="str">
        <f t="shared" si="3"/>
        <v>SEED#53</v>
      </c>
      <c r="D43" s="55">
        <v>36</v>
      </c>
      <c r="E43" s="56" t="s">
        <v>845</v>
      </c>
      <c r="F43" s="56" t="s">
        <v>846</v>
      </c>
      <c r="G43" s="57" t="s">
        <v>847</v>
      </c>
      <c r="H43" s="56">
        <v>0</v>
      </c>
      <c r="I43" s="56" t="s">
        <v>848</v>
      </c>
      <c r="J43" s="55" t="s">
        <v>849</v>
      </c>
      <c r="K43" s="269">
        <v>0</v>
      </c>
      <c r="L43" s="263">
        <f t="shared" si="4"/>
        <v>0</v>
      </c>
      <c r="M43" s="274" t="s">
        <v>412</v>
      </c>
      <c r="N43" s="65" t="s">
        <v>839</v>
      </c>
      <c r="O43" s="56"/>
      <c r="P43" s="16">
        <v>6</v>
      </c>
      <c r="Q43" s="16">
        <f t="shared" si="2"/>
        <v>3</v>
      </c>
      <c r="U43" s="15" t="s">
        <v>814</v>
      </c>
    </row>
    <row r="44" spans="1:21" ht="20.25" customHeight="1">
      <c r="A44" s="61"/>
      <c r="B44" s="70">
        <v>39</v>
      </c>
      <c r="C44" s="266" t="str">
        <f t="shared" si="3"/>
        <v>SEED#39</v>
      </c>
      <c r="D44" s="55">
        <v>36</v>
      </c>
      <c r="E44" s="56" t="s">
        <v>850</v>
      </c>
      <c r="F44" s="56" t="s">
        <v>851</v>
      </c>
      <c r="G44" s="66" t="s">
        <v>256</v>
      </c>
      <c r="H44" s="56">
        <v>0</v>
      </c>
      <c r="I44" s="56" t="s">
        <v>852</v>
      </c>
      <c r="J44" s="55" t="s">
        <v>853</v>
      </c>
      <c r="K44" s="269">
        <v>0</v>
      </c>
      <c r="L44" s="263">
        <f t="shared" si="4"/>
        <v>0</v>
      </c>
      <c r="M44" s="274" t="s">
        <v>305</v>
      </c>
      <c r="N44" s="65" t="s">
        <v>839</v>
      </c>
      <c r="O44" s="56"/>
      <c r="P44" s="16">
        <v>6</v>
      </c>
      <c r="Q44" s="16">
        <f t="shared" si="2"/>
        <v>3</v>
      </c>
      <c r="U44" s="15" t="s">
        <v>790</v>
      </c>
    </row>
    <row r="45" spans="1:21" ht="20.25" customHeight="1">
      <c r="A45" s="61"/>
      <c r="B45" s="70">
        <v>40</v>
      </c>
      <c r="C45" s="266" t="str">
        <f t="shared" si="3"/>
        <v>SEED#38</v>
      </c>
      <c r="D45" s="55">
        <v>36</v>
      </c>
      <c r="E45" s="56" t="s">
        <v>854</v>
      </c>
      <c r="F45" s="56" t="s">
        <v>855</v>
      </c>
      <c r="G45" s="66" t="s">
        <v>256</v>
      </c>
      <c r="H45" s="56">
        <v>0</v>
      </c>
      <c r="I45" s="56" t="s">
        <v>856</v>
      </c>
      <c r="J45" s="66" t="s">
        <v>256</v>
      </c>
      <c r="K45" s="269">
        <v>0</v>
      </c>
      <c r="L45" s="263">
        <f t="shared" si="4"/>
        <v>0</v>
      </c>
      <c r="M45" s="274" t="s">
        <v>287</v>
      </c>
      <c r="N45" s="65" t="s">
        <v>839</v>
      </c>
      <c r="O45" s="56"/>
      <c r="P45" s="16">
        <v>6</v>
      </c>
      <c r="Q45" s="16">
        <f t="shared" si="2"/>
        <v>3</v>
      </c>
      <c r="U45" s="15" t="s">
        <v>840</v>
      </c>
    </row>
    <row r="46" spans="1:21" ht="20.25" customHeight="1">
      <c r="A46" s="61"/>
      <c r="B46" s="70">
        <v>41</v>
      </c>
      <c r="C46" s="266" t="str">
        <f t="shared" si="3"/>
        <v>SEED#64</v>
      </c>
      <c r="D46" s="55">
        <v>36</v>
      </c>
      <c r="E46" s="55" t="s">
        <v>857</v>
      </c>
      <c r="F46" s="56" t="s">
        <v>858</v>
      </c>
      <c r="G46" s="66" t="s">
        <v>256</v>
      </c>
      <c r="H46" s="56">
        <v>0</v>
      </c>
      <c r="I46" s="56" t="s">
        <v>859</v>
      </c>
      <c r="J46" s="66" t="s">
        <v>256</v>
      </c>
      <c r="K46" s="269">
        <v>0</v>
      </c>
      <c r="L46" s="263">
        <f t="shared" si="4"/>
        <v>0</v>
      </c>
      <c r="M46" s="274" t="s">
        <v>860</v>
      </c>
      <c r="N46" s="65" t="s">
        <v>839</v>
      </c>
      <c r="O46" s="56"/>
      <c r="P46" s="16">
        <v>6</v>
      </c>
      <c r="Q46" s="16">
        <f t="shared" si="2"/>
        <v>3</v>
      </c>
      <c r="U46" s="15" t="s">
        <v>834</v>
      </c>
    </row>
    <row r="47" spans="1:21" ht="20.25" customHeight="1">
      <c r="A47" s="61"/>
      <c r="B47" s="70">
        <v>42</v>
      </c>
      <c r="C47" s="266" t="str">
        <f t="shared" si="3"/>
        <v>SEED#54</v>
      </c>
      <c r="D47" s="55">
        <v>36</v>
      </c>
      <c r="E47" s="56" t="s">
        <v>861</v>
      </c>
      <c r="F47" s="56" t="s">
        <v>862</v>
      </c>
      <c r="G47" s="66" t="s">
        <v>256</v>
      </c>
      <c r="H47" s="56">
        <v>0</v>
      </c>
      <c r="I47" s="56" t="s">
        <v>863</v>
      </c>
      <c r="J47" s="66" t="s">
        <v>256</v>
      </c>
      <c r="K47" s="269">
        <v>0</v>
      </c>
      <c r="L47" s="263">
        <f t="shared" si="4"/>
        <v>0</v>
      </c>
      <c r="M47" s="274" t="s">
        <v>340</v>
      </c>
      <c r="N47" s="65" t="s">
        <v>839</v>
      </c>
      <c r="O47" s="56"/>
      <c r="P47" s="16">
        <v>0</v>
      </c>
      <c r="Q47" s="16">
        <f t="shared" si="2"/>
        <v>0</v>
      </c>
      <c r="U47" s="15" t="s">
        <v>817</v>
      </c>
    </row>
    <row r="48" spans="1:21" ht="20.25" customHeight="1">
      <c r="A48" s="61"/>
      <c r="B48" s="70">
        <v>43</v>
      </c>
      <c r="C48" s="266" t="str">
        <f t="shared" si="3"/>
        <v>SEED#60</v>
      </c>
      <c r="D48" s="55">
        <v>36</v>
      </c>
      <c r="E48" s="55" t="s">
        <v>864</v>
      </c>
      <c r="F48" s="56" t="s">
        <v>865</v>
      </c>
      <c r="G48" s="66" t="s">
        <v>256</v>
      </c>
      <c r="H48" s="56">
        <v>0</v>
      </c>
      <c r="I48" s="56" t="s">
        <v>866</v>
      </c>
      <c r="J48" s="66" t="s">
        <v>256</v>
      </c>
      <c r="K48" s="269">
        <v>0</v>
      </c>
      <c r="L48" s="263">
        <f t="shared" si="4"/>
        <v>0</v>
      </c>
      <c r="M48" s="274" t="s">
        <v>345</v>
      </c>
      <c r="N48" s="65" t="s">
        <v>839</v>
      </c>
      <c r="O48" s="56"/>
      <c r="P48" s="16">
        <v>6</v>
      </c>
      <c r="Q48" s="16">
        <f t="shared" si="2"/>
        <v>3</v>
      </c>
      <c r="U48" s="15" t="s">
        <v>806</v>
      </c>
    </row>
    <row r="49" spans="1:21" ht="20.25" customHeight="1">
      <c r="A49" s="61"/>
      <c r="B49" s="70">
        <v>44</v>
      </c>
      <c r="C49" s="266" t="str">
        <f t="shared" si="3"/>
        <v>SEED#40</v>
      </c>
      <c r="D49" s="55">
        <v>36</v>
      </c>
      <c r="E49" s="55" t="s">
        <v>867</v>
      </c>
      <c r="F49" s="56" t="s">
        <v>868</v>
      </c>
      <c r="G49" s="66" t="s">
        <v>256</v>
      </c>
      <c r="H49" s="56">
        <v>0</v>
      </c>
      <c r="I49" s="56" t="s">
        <v>869</v>
      </c>
      <c r="J49" s="66" t="s">
        <v>256</v>
      </c>
      <c r="K49" s="269">
        <v>0</v>
      </c>
      <c r="L49" s="263">
        <f t="shared" si="4"/>
        <v>0</v>
      </c>
      <c r="M49" s="274" t="s">
        <v>294</v>
      </c>
      <c r="N49" s="65" t="s">
        <v>839</v>
      </c>
      <c r="O49" s="56"/>
      <c r="P49" s="16">
        <v>0</v>
      </c>
      <c r="Q49" s="16">
        <f t="shared" si="2"/>
        <v>0</v>
      </c>
      <c r="U49" s="15" t="s">
        <v>932</v>
      </c>
    </row>
    <row r="50" spans="1:21" ht="20.25" customHeight="1">
      <c r="A50" s="61"/>
      <c r="B50" s="70">
        <v>45</v>
      </c>
      <c r="C50" s="266" t="str">
        <f t="shared" si="3"/>
        <v>SEED#48</v>
      </c>
      <c r="D50" s="55">
        <v>36</v>
      </c>
      <c r="E50" s="56" t="s">
        <v>870</v>
      </c>
      <c r="F50" s="56" t="s">
        <v>871</v>
      </c>
      <c r="G50" s="57" t="s">
        <v>872</v>
      </c>
      <c r="H50" s="56">
        <v>0</v>
      </c>
      <c r="I50" s="56" t="s">
        <v>873</v>
      </c>
      <c r="J50" s="55" t="s">
        <v>874</v>
      </c>
      <c r="K50" s="269">
        <v>0</v>
      </c>
      <c r="L50" s="263">
        <f t="shared" si="4"/>
        <v>0</v>
      </c>
      <c r="M50" s="274" t="s">
        <v>314</v>
      </c>
      <c r="N50" s="65" t="s">
        <v>839</v>
      </c>
      <c r="O50" s="56"/>
      <c r="P50" s="16">
        <v>0</v>
      </c>
      <c r="Q50" s="16">
        <f t="shared" si="2"/>
        <v>0</v>
      </c>
      <c r="U50" s="15" t="s">
        <v>881</v>
      </c>
    </row>
    <row r="51" spans="1:21" ht="20.25" customHeight="1">
      <c r="A51" s="61"/>
      <c r="B51" s="70">
        <v>46</v>
      </c>
      <c r="C51" s="266" t="str">
        <f t="shared" si="3"/>
        <v>SEED#59</v>
      </c>
      <c r="D51" s="55">
        <v>36</v>
      </c>
      <c r="E51" s="56" t="s">
        <v>875</v>
      </c>
      <c r="F51" s="56" t="s">
        <v>876</v>
      </c>
      <c r="G51" s="66" t="s">
        <v>256</v>
      </c>
      <c r="H51" s="56">
        <v>0</v>
      </c>
      <c r="I51" s="56" t="s">
        <v>877</v>
      </c>
      <c r="J51" s="66" t="s">
        <v>256</v>
      </c>
      <c r="K51" s="269">
        <v>0</v>
      </c>
      <c r="L51" s="263">
        <f t="shared" si="4"/>
        <v>0</v>
      </c>
      <c r="M51" s="274" t="s">
        <v>336</v>
      </c>
      <c r="N51" s="65" t="s">
        <v>839</v>
      </c>
      <c r="O51" s="56"/>
      <c r="P51" s="16">
        <v>6</v>
      </c>
      <c r="Q51" s="16">
        <f t="shared" si="2"/>
        <v>3</v>
      </c>
      <c r="U51" s="15" t="s">
        <v>801</v>
      </c>
    </row>
    <row r="52" spans="1:21" ht="20.25" customHeight="1">
      <c r="A52" s="61"/>
      <c r="B52" s="70">
        <v>47</v>
      </c>
      <c r="C52" s="266" t="str">
        <f t="shared" si="3"/>
        <v>SEED#45</v>
      </c>
      <c r="D52" s="55">
        <v>36</v>
      </c>
      <c r="E52" s="55" t="s">
        <v>878</v>
      </c>
      <c r="F52" s="56" t="s">
        <v>879</v>
      </c>
      <c r="G52" s="66" t="s">
        <v>256</v>
      </c>
      <c r="H52" s="56">
        <v>0</v>
      </c>
      <c r="I52" s="56" t="s">
        <v>880</v>
      </c>
      <c r="J52" s="66" t="s">
        <v>256</v>
      </c>
      <c r="K52" s="269">
        <v>0</v>
      </c>
      <c r="L52" s="263">
        <f t="shared" si="4"/>
        <v>0</v>
      </c>
      <c r="M52" s="274" t="s">
        <v>408</v>
      </c>
      <c r="N52" s="65" t="s">
        <v>839</v>
      </c>
      <c r="O52" s="56"/>
      <c r="P52" s="16">
        <v>6</v>
      </c>
      <c r="Q52" s="16">
        <f t="shared" si="2"/>
        <v>3</v>
      </c>
      <c r="U52" s="15" t="s">
        <v>854</v>
      </c>
    </row>
    <row r="53" spans="1:21" ht="20.25" customHeight="1">
      <c r="A53" s="61"/>
      <c r="B53" s="70">
        <v>48</v>
      </c>
      <c r="C53" s="266" t="str">
        <f t="shared" si="3"/>
        <v>SEED#44</v>
      </c>
      <c r="D53" s="55">
        <v>36</v>
      </c>
      <c r="E53" s="55" t="s">
        <v>881</v>
      </c>
      <c r="F53" s="56" t="s">
        <v>882</v>
      </c>
      <c r="G53" s="66" t="s">
        <v>256</v>
      </c>
      <c r="H53" s="56">
        <v>0</v>
      </c>
      <c r="I53" s="56" t="s">
        <v>883</v>
      </c>
      <c r="J53" s="66" t="s">
        <v>256</v>
      </c>
      <c r="K53" s="269">
        <v>0</v>
      </c>
      <c r="L53" s="263">
        <f t="shared" si="4"/>
        <v>0</v>
      </c>
      <c r="M53" s="274" t="s">
        <v>330</v>
      </c>
      <c r="N53" s="65" t="s">
        <v>839</v>
      </c>
      <c r="O53" s="56"/>
      <c r="P53" s="16">
        <v>6</v>
      </c>
      <c r="Q53" s="16">
        <f t="shared" si="2"/>
        <v>3</v>
      </c>
      <c r="U53" s="15" t="s">
        <v>935</v>
      </c>
    </row>
    <row r="54" spans="1:21" ht="20.25" customHeight="1">
      <c r="A54" s="61"/>
      <c r="B54" s="70">
        <v>49</v>
      </c>
      <c r="C54" s="266" t="str">
        <f t="shared" si="3"/>
        <v>SEED#37</v>
      </c>
      <c r="D54" s="55">
        <v>36</v>
      </c>
      <c r="E54" s="56" t="s">
        <v>884</v>
      </c>
      <c r="F54" s="56" t="s">
        <v>885</v>
      </c>
      <c r="G54" s="57" t="s">
        <v>886</v>
      </c>
      <c r="H54" s="56">
        <v>0</v>
      </c>
      <c r="I54" s="56" t="s">
        <v>887</v>
      </c>
      <c r="J54" s="55" t="s">
        <v>888</v>
      </c>
      <c r="K54" s="269">
        <v>0</v>
      </c>
      <c r="L54" s="71">
        <f t="shared" si="4"/>
        <v>0</v>
      </c>
      <c r="M54" s="274" t="s">
        <v>300</v>
      </c>
      <c r="N54" s="65" t="s">
        <v>839</v>
      </c>
      <c r="O54" s="56"/>
      <c r="P54" s="16">
        <v>54</v>
      </c>
      <c r="Q54" s="16">
        <f t="shared" si="2"/>
        <v>27</v>
      </c>
      <c r="U54" s="15" t="s">
        <v>929</v>
      </c>
    </row>
    <row r="55" spans="1:21" ht="20.25" customHeight="1">
      <c r="A55" s="61"/>
      <c r="B55" s="70">
        <v>50</v>
      </c>
      <c r="C55" s="266" t="str">
        <f t="shared" si="3"/>
        <v>SEED#42</v>
      </c>
      <c r="D55" s="55">
        <v>36</v>
      </c>
      <c r="E55" s="55" t="s">
        <v>889</v>
      </c>
      <c r="F55" s="55" t="s">
        <v>890</v>
      </c>
      <c r="G55" s="57" t="s">
        <v>891</v>
      </c>
      <c r="H55" s="56">
        <v>0</v>
      </c>
      <c r="I55" s="55" t="s">
        <v>892</v>
      </c>
      <c r="J55" s="66" t="s">
        <v>256</v>
      </c>
      <c r="K55" s="269">
        <v>0</v>
      </c>
      <c r="L55" s="71">
        <f t="shared" si="4"/>
        <v>0</v>
      </c>
      <c r="M55" s="274" t="s">
        <v>403</v>
      </c>
      <c r="N55" s="65" t="s">
        <v>839</v>
      </c>
      <c r="O55" s="56"/>
      <c r="P55" s="16">
        <v>36</v>
      </c>
      <c r="Q55" s="16">
        <f t="shared" si="2"/>
        <v>18</v>
      </c>
      <c r="U55" s="15" t="s">
        <v>925</v>
      </c>
    </row>
    <row r="56" spans="1:21" ht="20.25" customHeight="1">
      <c r="A56" s="61"/>
      <c r="B56" s="70">
        <v>51</v>
      </c>
      <c r="C56" s="266" t="str">
        <f t="shared" si="3"/>
        <v>SEED#56</v>
      </c>
      <c r="D56" s="55">
        <v>36</v>
      </c>
      <c r="E56" s="55" t="s">
        <v>893</v>
      </c>
      <c r="F56" s="56" t="s">
        <v>894</v>
      </c>
      <c r="G56" s="57" t="s">
        <v>895</v>
      </c>
      <c r="H56" s="56">
        <v>0</v>
      </c>
      <c r="I56" s="56" t="s">
        <v>896</v>
      </c>
      <c r="J56" s="66" t="s">
        <v>256</v>
      </c>
      <c r="K56" s="269">
        <v>0</v>
      </c>
      <c r="L56" s="71">
        <f t="shared" si="4"/>
        <v>0</v>
      </c>
      <c r="M56" s="274" t="s">
        <v>387</v>
      </c>
      <c r="N56" s="65" t="s">
        <v>839</v>
      </c>
      <c r="O56" s="56"/>
      <c r="P56" s="16">
        <v>6</v>
      </c>
      <c r="Q56" s="16">
        <f t="shared" si="2"/>
        <v>3</v>
      </c>
      <c r="U56" s="15" t="s">
        <v>914</v>
      </c>
    </row>
    <row r="57" spans="1:21" ht="20.25" customHeight="1">
      <c r="A57" s="61"/>
      <c r="B57" s="70">
        <v>52</v>
      </c>
      <c r="C57" s="266" t="str">
        <f t="shared" si="3"/>
        <v>SEED#63</v>
      </c>
      <c r="D57" s="55">
        <v>36</v>
      </c>
      <c r="E57" s="55" t="s">
        <v>897</v>
      </c>
      <c r="F57" s="56" t="s">
        <v>898</v>
      </c>
      <c r="G57" s="57" t="s">
        <v>899</v>
      </c>
      <c r="H57" s="56">
        <v>0</v>
      </c>
      <c r="I57" s="56" t="s">
        <v>900</v>
      </c>
      <c r="J57" s="66" t="s">
        <v>256</v>
      </c>
      <c r="K57" s="269">
        <v>0</v>
      </c>
      <c r="L57" s="71">
        <f t="shared" si="4"/>
        <v>0</v>
      </c>
      <c r="M57" s="274" t="s">
        <v>421</v>
      </c>
      <c r="N57" s="65" t="s">
        <v>839</v>
      </c>
      <c r="O57" s="56"/>
      <c r="P57" s="16">
        <v>0</v>
      </c>
      <c r="Q57" s="16">
        <f t="shared" si="2"/>
        <v>0</v>
      </c>
      <c r="U57" s="15" t="s">
        <v>850</v>
      </c>
    </row>
    <row r="58" spans="1:21" ht="20.25" customHeight="1">
      <c r="A58" s="61"/>
      <c r="B58" s="70">
        <v>53</v>
      </c>
      <c r="C58" s="266" t="str">
        <f t="shared" si="3"/>
        <v>SEED#49</v>
      </c>
      <c r="D58" s="55">
        <v>36</v>
      </c>
      <c r="E58" s="56">
        <v>1021</v>
      </c>
      <c r="F58" s="56" t="s">
        <v>901</v>
      </c>
      <c r="G58" s="66" t="s">
        <v>256</v>
      </c>
      <c r="H58" s="56">
        <v>0</v>
      </c>
      <c r="I58" s="56" t="s">
        <v>902</v>
      </c>
      <c r="J58" s="66" t="s">
        <v>256</v>
      </c>
      <c r="K58" s="269">
        <v>0</v>
      </c>
      <c r="L58" s="71">
        <f t="shared" si="4"/>
        <v>0</v>
      </c>
      <c r="M58" s="274" t="s">
        <v>382</v>
      </c>
      <c r="N58" s="65" t="s">
        <v>839</v>
      </c>
      <c r="O58" s="56"/>
      <c r="P58" s="16">
        <v>6</v>
      </c>
      <c r="Q58" s="16">
        <f t="shared" si="2"/>
        <v>3</v>
      </c>
      <c r="U58" s="15" t="s">
        <v>893</v>
      </c>
    </row>
    <row r="59" spans="1:21" ht="20.25" customHeight="1">
      <c r="A59" s="61"/>
      <c r="B59" s="70">
        <v>54</v>
      </c>
      <c r="C59" s="266" t="str">
        <f t="shared" si="3"/>
        <v>SEED#52</v>
      </c>
      <c r="D59" s="55">
        <v>36</v>
      </c>
      <c r="E59" s="56" t="s">
        <v>903</v>
      </c>
      <c r="F59" s="56" t="s">
        <v>904</v>
      </c>
      <c r="G59" s="66" t="s">
        <v>256</v>
      </c>
      <c r="H59" s="56">
        <v>0</v>
      </c>
      <c r="I59" s="56" t="s">
        <v>905</v>
      </c>
      <c r="J59" s="66" t="s">
        <v>256</v>
      </c>
      <c r="K59" s="269">
        <v>0</v>
      </c>
      <c r="L59" s="71">
        <f t="shared" si="4"/>
        <v>0</v>
      </c>
      <c r="M59" s="274" t="s">
        <v>356</v>
      </c>
      <c r="N59" s="65" t="s">
        <v>839</v>
      </c>
      <c r="O59" s="56"/>
      <c r="P59" s="16">
        <v>6</v>
      </c>
      <c r="Q59" s="16">
        <f t="shared" si="2"/>
        <v>3</v>
      </c>
      <c r="U59" s="506">
        <v>1021</v>
      </c>
    </row>
    <row r="60" spans="1:21" ht="20.25" customHeight="1">
      <c r="A60" s="61"/>
      <c r="B60" s="70">
        <v>55</v>
      </c>
      <c r="C60" s="266" t="str">
        <f t="shared" si="3"/>
        <v>SEED#47</v>
      </c>
      <c r="D60" s="55">
        <v>36</v>
      </c>
      <c r="E60" s="55" t="s">
        <v>906</v>
      </c>
      <c r="F60" s="56" t="s">
        <v>907</v>
      </c>
      <c r="G60" s="57" t="s">
        <v>908</v>
      </c>
      <c r="H60" s="56">
        <v>0</v>
      </c>
      <c r="I60" s="56" t="s">
        <v>909</v>
      </c>
      <c r="J60" s="66" t="s">
        <v>256</v>
      </c>
      <c r="K60" s="269">
        <v>0</v>
      </c>
      <c r="L60" s="71">
        <f t="shared" si="4"/>
        <v>0</v>
      </c>
      <c r="M60" s="274" t="s">
        <v>368</v>
      </c>
      <c r="N60" s="65" t="s">
        <v>839</v>
      </c>
      <c r="O60" s="56"/>
      <c r="P60" s="16">
        <v>0</v>
      </c>
      <c r="Q60" s="16">
        <f t="shared" si="2"/>
        <v>0</v>
      </c>
      <c r="U60" s="15" t="s">
        <v>864</v>
      </c>
    </row>
    <row r="61" spans="1:21" ht="20.25" customHeight="1">
      <c r="A61" s="61"/>
      <c r="B61" s="70">
        <v>56</v>
      </c>
      <c r="C61" s="266" t="str">
        <f t="shared" si="3"/>
        <v>SEED#43</v>
      </c>
      <c r="D61" s="55">
        <v>36</v>
      </c>
      <c r="E61" s="55" t="s">
        <v>910</v>
      </c>
      <c r="F61" s="56" t="s">
        <v>911</v>
      </c>
      <c r="G61" s="57" t="s">
        <v>912</v>
      </c>
      <c r="H61" s="56">
        <v>0</v>
      </c>
      <c r="I61" s="56" t="s">
        <v>913</v>
      </c>
      <c r="J61" s="66" t="s">
        <v>256</v>
      </c>
      <c r="K61" s="269">
        <v>0</v>
      </c>
      <c r="L61" s="71">
        <f t="shared" si="4"/>
        <v>0</v>
      </c>
      <c r="M61" s="274" t="s">
        <v>378</v>
      </c>
      <c r="N61" s="65" t="s">
        <v>839</v>
      </c>
      <c r="O61" s="56"/>
      <c r="P61" s="16">
        <v>48</v>
      </c>
      <c r="Q61" s="16">
        <f t="shared" si="2"/>
        <v>24</v>
      </c>
      <c r="U61" s="15" t="s">
        <v>903</v>
      </c>
    </row>
    <row r="62" spans="1:21" ht="20.25" customHeight="1">
      <c r="A62" s="61"/>
      <c r="B62" s="70">
        <v>57</v>
      </c>
      <c r="C62" s="266" t="str">
        <f t="shared" si="3"/>
        <v>SEED#51</v>
      </c>
      <c r="D62" s="55">
        <v>36</v>
      </c>
      <c r="E62" s="55" t="s">
        <v>914</v>
      </c>
      <c r="F62" s="56" t="s">
        <v>915</v>
      </c>
      <c r="G62" s="66" t="s">
        <v>256</v>
      </c>
      <c r="H62" s="56">
        <v>0</v>
      </c>
      <c r="I62" s="56" t="s">
        <v>916</v>
      </c>
      <c r="J62" s="66" t="s">
        <v>256</v>
      </c>
      <c r="K62" s="269">
        <v>0</v>
      </c>
      <c r="L62" s="71">
        <f t="shared" si="4"/>
        <v>0</v>
      </c>
      <c r="M62" s="274" t="s">
        <v>350</v>
      </c>
      <c r="N62" s="65" t="s">
        <v>839</v>
      </c>
      <c r="O62" s="56"/>
      <c r="P62" s="16">
        <v>6</v>
      </c>
      <c r="Q62" s="16">
        <f t="shared" si="2"/>
        <v>3</v>
      </c>
      <c r="U62" s="15" t="s">
        <v>917</v>
      </c>
    </row>
    <row r="63" spans="1:21" ht="20.25" customHeight="1">
      <c r="A63" s="61"/>
      <c r="B63" s="70">
        <v>58</v>
      </c>
      <c r="C63" s="266" t="str">
        <f t="shared" si="3"/>
        <v>SEED#58</v>
      </c>
      <c r="D63" s="55">
        <v>36</v>
      </c>
      <c r="E63" s="56" t="s">
        <v>917</v>
      </c>
      <c r="F63" s="56" t="s">
        <v>918</v>
      </c>
      <c r="G63" s="66" t="s">
        <v>256</v>
      </c>
      <c r="H63" s="56">
        <v>0</v>
      </c>
      <c r="I63" s="56" t="s">
        <v>919</v>
      </c>
      <c r="J63" s="66" t="s">
        <v>256</v>
      </c>
      <c r="K63" s="269">
        <v>0</v>
      </c>
      <c r="L63" s="71">
        <f t="shared" si="4"/>
        <v>0</v>
      </c>
      <c r="M63" s="274" t="s">
        <v>373</v>
      </c>
      <c r="N63" s="65" t="s">
        <v>839</v>
      </c>
      <c r="O63" s="56"/>
      <c r="P63" s="16">
        <v>6</v>
      </c>
      <c r="Q63" s="16">
        <f t="shared" si="2"/>
        <v>3</v>
      </c>
      <c r="U63" s="15" t="s">
        <v>875</v>
      </c>
    </row>
    <row r="64" spans="1:21" ht="20.25" customHeight="1">
      <c r="A64" s="61"/>
      <c r="B64" s="70">
        <v>59</v>
      </c>
      <c r="C64" s="266" t="str">
        <f t="shared" si="3"/>
        <v>SEED#61</v>
      </c>
      <c r="D64" s="55">
        <v>36</v>
      </c>
      <c r="E64" s="55" t="s">
        <v>920</v>
      </c>
      <c r="F64" s="56" t="s">
        <v>921</v>
      </c>
      <c r="G64" s="57" t="s">
        <v>922</v>
      </c>
      <c r="H64" s="56">
        <v>0</v>
      </c>
      <c r="I64" s="56" t="s">
        <v>923</v>
      </c>
      <c r="J64" s="55" t="s">
        <v>924</v>
      </c>
      <c r="K64" s="269">
        <v>0</v>
      </c>
      <c r="L64" s="71">
        <f t="shared" si="4"/>
        <v>0</v>
      </c>
      <c r="M64" s="274" t="s">
        <v>321</v>
      </c>
      <c r="N64" s="65" t="s">
        <v>839</v>
      </c>
      <c r="O64" s="56"/>
      <c r="P64" s="16">
        <v>36</v>
      </c>
      <c r="Q64" s="16">
        <f t="shared" si="2"/>
        <v>18</v>
      </c>
      <c r="T64" s="15" t="s">
        <v>586</v>
      </c>
      <c r="U64" s="15" t="s">
        <v>870</v>
      </c>
    </row>
    <row r="65" spans="1:21" ht="20.25" customHeight="1">
      <c r="A65" s="61"/>
      <c r="B65" s="70">
        <v>60</v>
      </c>
      <c r="C65" s="266" t="str">
        <f t="shared" si="3"/>
        <v>SEED#50</v>
      </c>
      <c r="D65" s="55">
        <v>36</v>
      </c>
      <c r="E65" s="56" t="s">
        <v>925</v>
      </c>
      <c r="F65" s="56" t="s">
        <v>926</v>
      </c>
      <c r="G65" s="57" t="s">
        <v>927</v>
      </c>
      <c r="H65" s="56">
        <v>0</v>
      </c>
      <c r="I65" s="56" t="s">
        <v>928</v>
      </c>
      <c r="J65" s="66" t="s">
        <v>256</v>
      </c>
      <c r="K65" s="269">
        <v>0</v>
      </c>
      <c r="L65" s="71">
        <f t="shared" si="4"/>
        <v>0</v>
      </c>
      <c r="M65" s="274" t="s">
        <v>326</v>
      </c>
      <c r="N65" s="65" t="s">
        <v>839</v>
      </c>
      <c r="O65" s="56"/>
      <c r="P65" s="16">
        <v>6</v>
      </c>
      <c r="Q65" s="16">
        <f t="shared" si="2"/>
        <v>3</v>
      </c>
      <c r="U65" s="15" t="s">
        <v>861</v>
      </c>
    </row>
    <row r="66" spans="1:21" ht="20.25" customHeight="1">
      <c r="A66" s="61"/>
      <c r="B66" s="70">
        <v>61</v>
      </c>
      <c r="C66" s="266" t="str">
        <f t="shared" si="3"/>
        <v>SEED#62</v>
      </c>
      <c r="D66" s="55">
        <v>36</v>
      </c>
      <c r="E66" s="56" t="s">
        <v>929</v>
      </c>
      <c r="F66" s="56" t="s">
        <v>930</v>
      </c>
      <c r="G66" s="66" t="s">
        <v>256</v>
      </c>
      <c r="H66" s="56">
        <v>0</v>
      </c>
      <c r="I66" s="56" t="s">
        <v>931</v>
      </c>
      <c r="J66" s="66" t="s">
        <v>256</v>
      </c>
      <c r="K66" s="269">
        <v>0</v>
      </c>
      <c r="L66" s="71">
        <f t="shared" si="4"/>
        <v>0</v>
      </c>
      <c r="M66" s="274" t="s">
        <v>416</v>
      </c>
      <c r="N66" s="65" t="s">
        <v>839</v>
      </c>
      <c r="O66" s="56"/>
      <c r="P66" s="16">
        <v>6</v>
      </c>
      <c r="Q66" s="16">
        <f t="shared" si="2"/>
        <v>3</v>
      </c>
      <c r="U66" s="15" t="s">
        <v>867</v>
      </c>
    </row>
    <row r="67" spans="1:21" ht="20.25" customHeight="1">
      <c r="A67" s="61"/>
      <c r="B67" s="70">
        <v>62</v>
      </c>
      <c r="C67" s="266" t="str">
        <f t="shared" si="3"/>
        <v>SEED#36</v>
      </c>
      <c r="D67" s="55">
        <v>36</v>
      </c>
      <c r="E67" s="56" t="s">
        <v>932</v>
      </c>
      <c r="F67" s="56" t="s">
        <v>933</v>
      </c>
      <c r="G67" s="66" t="s">
        <v>256</v>
      </c>
      <c r="H67" s="56">
        <v>0</v>
      </c>
      <c r="I67" s="56" t="s">
        <v>934</v>
      </c>
      <c r="J67" s="66" t="s">
        <v>256</v>
      </c>
      <c r="K67" s="269">
        <v>0</v>
      </c>
      <c r="L67" s="71">
        <f t="shared" si="4"/>
        <v>0</v>
      </c>
      <c r="M67" s="274" t="s">
        <v>281</v>
      </c>
      <c r="N67" s="65" t="s">
        <v>839</v>
      </c>
      <c r="O67" s="56"/>
      <c r="P67" s="16">
        <v>6</v>
      </c>
      <c r="Q67" s="16">
        <f t="shared" si="2"/>
        <v>3</v>
      </c>
      <c r="U67" s="15" t="s">
        <v>906</v>
      </c>
    </row>
    <row r="68" spans="1:21" ht="20.25" customHeight="1">
      <c r="A68" s="61"/>
      <c r="B68" s="70">
        <v>63</v>
      </c>
      <c r="C68" s="266" t="str">
        <f t="shared" si="3"/>
        <v>SEED#46</v>
      </c>
      <c r="D68" s="55">
        <v>36</v>
      </c>
      <c r="E68" s="56" t="s">
        <v>935</v>
      </c>
      <c r="F68" s="56" t="s">
        <v>936</v>
      </c>
      <c r="G68" s="66" t="s">
        <v>256</v>
      </c>
      <c r="H68" s="56">
        <v>0</v>
      </c>
      <c r="I68" s="56" t="s">
        <v>937</v>
      </c>
      <c r="J68" s="66" t="s">
        <v>256</v>
      </c>
      <c r="K68" s="269">
        <v>0</v>
      </c>
      <c r="L68" s="71">
        <f t="shared" si="4"/>
        <v>0</v>
      </c>
      <c r="M68" s="274" t="s">
        <v>362</v>
      </c>
      <c r="N68" s="65" t="s">
        <v>839</v>
      </c>
      <c r="O68" s="56"/>
      <c r="P68" s="16">
        <v>6</v>
      </c>
      <c r="Q68" s="16">
        <f t="shared" si="2"/>
        <v>3</v>
      </c>
      <c r="U68" s="15" t="s">
        <v>897</v>
      </c>
    </row>
    <row r="69" spans="1:21" ht="20.25" customHeight="1">
      <c r="A69" s="61"/>
      <c r="B69" s="277">
        <v>64</v>
      </c>
      <c r="C69" s="266" t="str">
        <f t="shared" si="3"/>
        <v>SEED#41</v>
      </c>
      <c r="D69" s="55">
        <v>36</v>
      </c>
      <c r="E69" s="56" t="s">
        <v>938</v>
      </c>
      <c r="F69" s="56" t="s">
        <v>939</v>
      </c>
      <c r="G69" s="66" t="s">
        <v>256</v>
      </c>
      <c r="H69" s="56">
        <v>0</v>
      </c>
      <c r="I69" s="56" t="s">
        <v>940</v>
      </c>
      <c r="J69" s="66" t="s">
        <v>256</v>
      </c>
      <c r="K69" s="269">
        <v>0</v>
      </c>
      <c r="L69" s="71">
        <f t="shared" si="4"/>
        <v>0</v>
      </c>
      <c r="M69" s="278" t="s">
        <v>310</v>
      </c>
      <c r="N69" s="65" t="s">
        <v>839</v>
      </c>
      <c r="O69" s="56"/>
      <c r="P69" s="16">
        <v>6</v>
      </c>
      <c r="Q69" s="16">
        <f t="shared" si="2"/>
        <v>3</v>
      </c>
      <c r="U69" s="15" t="s">
        <v>770</v>
      </c>
    </row>
    <row r="70" spans="1:21" ht="20.25" hidden="1" customHeight="1">
      <c r="A70" s="61"/>
      <c r="B70" s="70">
        <v>65</v>
      </c>
      <c r="C70" s="266">
        <f t="shared" si="3"/>
        <v>0</v>
      </c>
      <c r="D70" s="55"/>
      <c r="E70" s="56"/>
      <c r="F70" s="56"/>
      <c r="G70" s="62"/>
      <c r="H70" s="56"/>
      <c r="I70" s="56"/>
      <c r="J70" s="56"/>
      <c r="K70" s="269"/>
      <c r="L70" s="71"/>
      <c r="M70" s="274"/>
      <c r="N70" s="59"/>
      <c r="O70" s="56"/>
    </row>
    <row r="71" spans="1:21" ht="20.25" hidden="1" customHeight="1">
      <c r="A71" s="61"/>
      <c r="B71" s="70"/>
      <c r="C71" s="266"/>
      <c r="D71" s="55"/>
      <c r="E71" s="56"/>
      <c r="F71" s="56"/>
      <c r="G71" s="62"/>
      <c r="H71" s="77"/>
      <c r="I71" s="56"/>
      <c r="J71" s="56"/>
      <c r="K71" s="279"/>
      <c r="L71" s="71"/>
      <c r="M71" s="274"/>
      <c r="N71" s="59"/>
      <c r="O71" s="56"/>
    </row>
    <row r="72" spans="1:21" ht="20.25" hidden="1" customHeight="1">
      <c r="A72" s="61"/>
      <c r="B72" s="70"/>
      <c r="C72" s="266"/>
      <c r="D72" s="55"/>
      <c r="E72" s="56"/>
      <c r="F72" s="56"/>
      <c r="G72" s="62"/>
      <c r="H72" s="77"/>
      <c r="I72" s="56"/>
      <c r="J72" s="56"/>
      <c r="K72" s="279"/>
      <c r="L72" s="71"/>
      <c r="M72" s="274"/>
      <c r="N72" s="59"/>
      <c r="O72" s="56"/>
    </row>
    <row r="73" spans="1:21" ht="20.25" hidden="1" customHeight="1">
      <c r="A73" s="61"/>
      <c r="B73" s="70"/>
      <c r="C73" s="266"/>
      <c r="D73" s="55"/>
      <c r="E73" s="56"/>
      <c r="F73" s="56"/>
      <c r="G73" s="62"/>
      <c r="H73" s="77"/>
      <c r="I73" s="56"/>
      <c r="J73" s="56"/>
      <c r="K73" s="279"/>
      <c r="L73" s="71"/>
      <c r="M73" s="274"/>
      <c r="N73" s="59"/>
      <c r="O73" s="56"/>
    </row>
    <row r="74" spans="1:21" ht="20.25" hidden="1" customHeight="1">
      <c r="A74" s="61"/>
      <c r="B74" s="70"/>
      <c r="C74" s="266"/>
      <c r="D74" s="55"/>
      <c r="E74" s="56"/>
      <c r="F74" s="56"/>
      <c r="G74" s="62"/>
      <c r="H74" s="77"/>
      <c r="I74" s="56"/>
      <c r="J74" s="56"/>
      <c r="K74" s="279"/>
      <c r="L74" s="71"/>
      <c r="M74" s="274"/>
      <c r="N74" s="59"/>
      <c r="O74" s="56"/>
    </row>
    <row r="75" spans="1:21" ht="20.25" hidden="1" customHeight="1">
      <c r="A75" s="61"/>
      <c r="B75" s="70"/>
      <c r="C75" s="266"/>
      <c r="D75" s="55"/>
      <c r="E75" s="56"/>
      <c r="F75" s="56"/>
      <c r="G75" s="62"/>
      <c r="H75" s="77"/>
      <c r="I75" s="56"/>
      <c r="J75" s="56"/>
      <c r="K75" s="279"/>
      <c r="L75" s="71"/>
      <c r="M75" s="274"/>
      <c r="N75" s="59"/>
      <c r="O75" s="56"/>
    </row>
    <row r="76" spans="1:21" ht="20.25" hidden="1" customHeight="1">
      <c r="A76" s="61"/>
      <c r="B76" s="70"/>
      <c r="C76" s="266"/>
      <c r="D76" s="55"/>
      <c r="E76" s="56"/>
      <c r="F76" s="56"/>
      <c r="G76" s="62"/>
      <c r="H76" s="77"/>
      <c r="I76" s="56"/>
      <c r="J76" s="56"/>
      <c r="K76" s="279"/>
      <c r="L76" s="71"/>
      <c r="M76" s="274"/>
      <c r="N76" s="59"/>
      <c r="O76" s="56"/>
    </row>
    <row r="77" spans="1:21" ht="20.25" hidden="1" customHeight="1">
      <c r="A77" s="61"/>
      <c r="B77" s="70"/>
      <c r="C77" s="266"/>
      <c r="D77" s="55"/>
      <c r="E77" s="56"/>
      <c r="F77" s="56"/>
      <c r="G77" s="62"/>
      <c r="H77" s="77"/>
      <c r="I77" s="56"/>
      <c r="J77" s="56"/>
      <c r="K77" s="279"/>
      <c r="L77" s="71"/>
      <c r="M77" s="274"/>
      <c r="N77" s="59"/>
      <c r="O77" s="56"/>
    </row>
    <row r="78" spans="1:21" ht="20.25" hidden="1" customHeight="1">
      <c r="A78" s="61"/>
      <c r="B78" s="70"/>
      <c r="C78" s="266"/>
      <c r="D78" s="55"/>
      <c r="E78" s="56"/>
      <c r="F78" s="56"/>
      <c r="G78" s="62"/>
      <c r="H78" s="77"/>
      <c r="I78" s="56"/>
      <c r="J78" s="56"/>
      <c r="K78" s="279"/>
      <c r="L78" s="71"/>
      <c r="M78" s="274"/>
      <c r="N78" s="59"/>
      <c r="O78" s="56"/>
    </row>
    <row r="79" spans="1:21" ht="20.25" hidden="1" customHeight="1">
      <c r="A79" s="61"/>
      <c r="B79" s="70"/>
      <c r="C79" s="266"/>
      <c r="D79" s="55"/>
      <c r="E79" s="56"/>
      <c r="F79" s="56"/>
      <c r="G79" s="62"/>
      <c r="H79" s="77"/>
      <c r="I79" s="56"/>
      <c r="J79" s="56"/>
      <c r="K79" s="279"/>
      <c r="L79" s="71"/>
      <c r="M79" s="274"/>
      <c r="N79" s="59"/>
      <c r="O79" s="56"/>
    </row>
    <row r="80" spans="1:21" ht="20.25" hidden="1" customHeight="1">
      <c r="A80" s="61"/>
      <c r="B80" s="70"/>
      <c r="C80" s="266"/>
      <c r="D80" s="55"/>
      <c r="E80" s="56"/>
      <c r="F80" s="56"/>
      <c r="G80" s="62"/>
      <c r="H80" s="77"/>
      <c r="I80" s="56"/>
      <c r="J80" s="56"/>
      <c r="K80" s="279"/>
      <c r="L80" s="71"/>
      <c r="M80" s="274"/>
      <c r="N80" s="59"/>
      <c r="O80" s="56"/>
    </row>
    <row r="81" spans="1:15" ht="20.25" hidden="1" customHeight="1">
      <c r="A81" s="61"/>
      <c r="B81" s="70"/>
      <c r="C81" s="266"/>
      <c r="D81" s="55"/>
      <c r="E81" s="56"/>
      <c r="F81" s="56"/>
      <c r="G81" s="62"/>
      <c r="H81" s="77"/>
      <c r="I81" s="56"/>
      <c r="J81" s="56"/>
      <c r="K81" s="279"/>
      <c r="L81" s="71"/>
      <c r="M81" s="274"/>
      <c r="N81" s="59"/>
      <c r="O81" s="56"/>
    </row>
    <row r="82" spans="1:15" ht="20.25" hidden="1" customHeight="1">
      <c r="A82" s="61"/>
      <c r="B82" s="70"/>
      <c r="C82" s="266"/>
      <c r="D82" s="55"/>
      <c r="E82" s="56"/>
      <c r="F82" s="56"/>
      <c r="G82" s="62"/>
      <c r="H82" s="77"/>
      <c r="I82" s="56"/>
      <c r="J82" s="56"/>
      <c r="K82" s="279"/>
      <c r="L82" s="71"/>
      <c r="M82" s="274"/>
      <c r="N82" s="59"/>
      <c r="O82" s="56"/>
    </row>
    <row r="83" spans="1:15" ht="20.25" hidden="1" customHeight="1">
      <c r="A83" s="61"/>
      <c r="B83" s="70"/>
      <c r="C83" s="266"/>
      <c r="D83" s="55"/>
      <c r="E83" s="56"/>
      <c r="F83" s="56"/>
      <c r="G83" s="62"/>
      <c r="H83" s="77"/>
      <c r="I83" s="56"/>
      <c r="J83" s="56"/>
      <c r="K83" s="279"/>
      <c r="L83" s="71"/>
      <c r="M83" s="274"/>
      <c r="N83" s="59"/>
      <c r="O83" s="56"/>
    </row>
    <row r="84" spans="1:15" ht="20.25" hidden="1" customHeight="1">
      <c r="A84" s="61"/>
      <c r="B84" s="70"/>
      <c r="C84" s="266"/>
      <c r="D84" s="55"/>
      <c r="E84" s="56"/>
      <c r="F84" s="56"/>
      <c r="G84" s="62"/>
      <c r="H84" s="77"/>
      <c r="I84" s="56"/>
      <c r="J84" s="56"/>
      <c r="K84" s="279"/>
      <c r="L84" s="71"/>
      <c r="M84" s="274"/>
      <c r="N84" s="59"/>
      <c r="O84" s="56"/>
    </row>
    <row r="85" spans="1:15" ht="20.25" hidden="1" customHeight="1">
      <c r="A85" s="61"/>
      <c r="B85" s="70"/>
      <c r="C85" s="266"/>
      <c r="D85" s="55"/>
      <c r="E85" s="56"/>
      <c r="F85" s="56"/>
      <c r="G85" s="62"/>
      <c r="H85" s="77"/>
      <c r="I85" s="56"/>
      <c r="J85" s="56"/>
      <c r="K85" s="279"/>
      <c r="L85" s="71"/>
      <c r="M85" s="274"/>
      <c r="N85" s="59"/>
      <c r="O85" s="56"/>
    </row>
    <row r="86" spans="1:15" ht="20.25" hidden="1" customHeight="1">
      <c r="A86" s="61"/>
      <c r="B86" s="70"/>
      <c r="C86" s="266"/>
      <c r="D86" s="55"/>
      <c r="E86" s="56"/>
      <c r="F86" s="56"/>
      <c r="G86" s="62"/>
      <c r="H86" s="77"/>
      <c r="I86" s="56"/>
      <c r="J86" s="56"/>
      <c r="K86" s="279"/>
      <c r="L86" s="71"/>
      <c r="M86" s="274"/>
      <c r="N86" s="59"/>
      <c r="O86" s="56"/>
    </row>
    <row r="87" spans="1:15" ht="20.25" hidden="1" customHeight="1">
      <c r="A87" s="61"/>
      <c r="B87" s="70"/>
      <c r="C87" s="266"/>
      <c r="D87" s="55"/>
      <c r="E87" s="56"/>
      <c r="F87" s="56"/>
      <c r="G87" s="62"/>
      <c r="H87" s="77"/>
      <c r="I87" s="56"/>
      <c r="J87" s="56"/>
      <c r="K87" s="279"/>
      <c r="L87" s="71"/>
      <c r="M87" s="274"/>
      <c r="N87" s="59"/>
      <c r="O87" s="56"/>
    </row>
    <row r="88" spans="1:15" ht="20.25" hidden="1" customHeight="1">
      <c r="A88" s="61"/>
      <c r="B88" s="70"/>
      <c r="C88" s="266"/>
      <c r="D88" s="55"/>
      <c r="E88" s="56"/>
      <c r="F88" s="56"/>
      <c r="G88" s="62"/>
      <c r="H88" s="77"/>
      <c r="I88" s="56"/>
      <c r="J88" s="56"/>
      <c r="K88" s="279"/>
      <c r="L88" s="71"/>
      <c r="M88" s="274"/>
      <c r="N88" s="59"/>
      <c r="O88" s="56"/>
    </row>
    <row r="89" spans="1:15" ht="20.25" hidden="1" customHeight="1">
      <c r="A89" s="61"/>
      <c r="B89" s="70"/>
      <c r="C89" s="266"/>
      <c r="D89" s="55"/>
      <c r="E89" s="56"/>
      <c r="F89" s="56"/>
      <c r="G89" s="62"/>
      <c r="H89" s="77"/>
      <c r="I89" s="56"/>
      <c r="J89" s="56"/>
      <c r="K89" s="279"/>
      <c r="L89" s="71"/>
      <c r="M89" s="274"/>
      <c r="N89" s="59"/>
      <c r="O89" s="56"/>
    </row>
    <row r="90" spans="1:15" ht="20.25" hidden="1" customHeight="1">
      <c r="A90" s="61"/>
      <c r="B90" s="70"/>
      <c r="C90" s="266"/>
      <c r="D90" s="55"/>
      <c r="E90" s="56"/>
      <c r="F90" s="56"/>
      <c r="G90" s="62"/>
      <c r="H90" s="77"/>
      <c r="I90" s="56"/>
      <c r="J90" s="56"/>
      <c r="K90" s="279"/>
      <c r="L90" s="71"/>
      <c r="M90" s="274"/>
      <c r="N90" s="59"/>
      <c r="O90" s="56"/>
    </row>
    <row r="91" spans="1:15" ht="20.25" hidden="1" customHeight="1">
      <c r="A91" s="61"/>
      <c r="B91" s="70"/>
      <c r="C91" s="266"/>
      <c r="D91" s="55"/>
      <c r="E91" s="56"/>
      <c r="F91" s="56"/>
      <c r="G91" s="62"/>
      <c r="H91" s="77"/>
      <c r="I91" s="56"/>
      <c r="J91" s="56"/>
      <c r="K91" s="279"/>
      <c r="L91" s="71"/>
      <c r="M91" s="274"/>
      <c r="N91" s="59"/>
      <c r="O91" s="56"/>
    </row>
    <row r="92" spans="1:15" ht="20.25" hidden="1" customHeight="1">
      <c r="A92" s="61"/>
      <c r="B92" s="70"/>
      <c r="C92" s="266"/>
      <c r="D92" s="55"/>
      <c r="E92" s="56"/>
      <c r="F92" s="56"/>
      <c r="G92" s="62"/>
      <c r="H92" s="77"/>
      <c r="I92" s="56"/>
      <c r="J92" s="56"/>
      <c r="K92" s="279"/>
      <c r="L92" s="71"/>
      <c r="M92" s="274"/>
      <c r="N92" s="59"/>
      <c r="O92" s="56"/>
    </row>
    <row r="93" spans="1:15" ht="20.25" hidden="1" customHeight="1">
      <c r="A93" s="61"/>
      <c r="B93" s="70"/>
      <c r="C93" s="266"/>
      <c r="D93" s="55"/>
      <c r="E93" s="56"/>
      <c r="F93" s="56"/>
      <c r="G93" s="62"/>
      <c r="H93" s="77"/>
      <c r="I93" s="56"/>
      <c r="J93" s="56"/>
      <c r="K93" s="279"/>
      <c r="L93" s="71"/>
      <c r="M93" s="274"/>
      <c r="N93" s="59"/>
      <c r="O93" s="56"/>
    </row>
    <row r="94" spans="1:15" ht="20.25" hidden="1" customHeight="1">
      <c r="A94" s="61"/>
      <c r="B94" s="70"/>
      <c r="C94" s="266"/>
      <c r="D94" s="55"/>
      <c r="E94" s="56"/>
      <c r="F94" s="56"/>
      <c r="G94" s="62"/>
      <c r="H94" s="77"/>
      <c r="I94" s="56"/>
      <c r="J94" s="56"/>
      <c r="K94" s="279"/>
      <c r="L94" s="71"/>
      <c r="M94" s="274"/>
      <c r="N94" s="59"/>
      <c r="O94" s="56"/>
    </row>
    <row r="95" spans="1:15" ht="20.25" hidden="1" customHeight="1">
      <c r="A95" s="61"/>
      <c r="B95" s="70"/>
      <c r="C95" s="266"/>
      <c r="D95" s="55"/>
      <c r="E95" s="56"/>
      <c r="F95" s="56"/>
      <c r="G95" s="62"/>
      <c r="H95" s="77"/>
      <c r="I95" s="56"/>
      <c r="J95" s="56"/>
      <c r="K95" s="279"/>
      <c r="L95" s="71"/>
      <c r="M95" s="274"/>
      <c r="N95" s="59"/>
      <c r="O95" s="56"/>
    </row>
    <row r="96" spans="1:15" ht="20.25" hidden="1" customHeight="1">
      <c r="A96" s="61"/>
      <c r="B96" s="70"/>
      <c r="C96" s="266"/>
      <c r="D96" s="55"/>
      <c r="E96" s="56"/>
      <c r="F96" s="56"/>
      <c r="G96" s="62"/>
      <c r="H96" s="77"/>
      <c r="I96" s="56"/>
      <c r="J96" s="56"/>
      <c r="K96" s="279"/>
      <c r="L96" s="71"/>
      <c r="M96" s="274"/>
      <c r="N96" s="59"/>
      <c r="O96" s="56"/>
    </row>
    <row r="97" spans="1:15" ht="20.25" hidden="1" customHeight="1">
      <c r="A97" s="61"/>
      <c r="B97" s="70"/>
      <c r="C97" s="266"/>
      <c r="D97" s="55"/>
      <c r="E97" s="56"/>
      <c r="F97" s="56"/>
      <c r="G97" s="62"/>
      <c r="H97" s="77"/>
      <c r="I97" s="56"/>
      <c r="J97" s="56"/>
      <c r="K97" s="279"/>
      <c r="L97" s="71"/>
      <c r="M97" s="274"/>
      <c r="N97" s="59"/>
      <c r="O97" s="56"/>
    </row>
    <row r="98" spans="1:15" ht="20.25" hidden="1" customHeight="1">
      <c r="A98" s="61"/>
      <c r="B98" s="70"/>
      <c r="C98" s="266"/>
      <c r="D98" s="55"/>
      <c r="E98" s="56"/>
      <c r="F98" s="56"/>
      <c r="G98" s="62"/>
      <c r="H98" s="77"/>
      <c r="I98" s="56"/>
      <c r="J98" s="56"/>
      <c r="K98" s="279"/>
      <c r="L98" s="71"/>
      <c r="M98" s="274"/>
      <c r="N98" s="59"/>
      <c r="O98" s="56"/>
    </row>
    <row r="99" spans="1:15" ht="20.25" hidden="1" customHeight="1">
      <c r="A99" s="61"/>
      <c r="B99" s="70"/>
      <c r="C99" s="266"/>
      <c r="D99" s="55"/>
      <c r="E99" s="56"/>
      <c r="F99" s="56"/>
      <c r="G99" s="62"/>
      <c r="H99" s="77"/>
      <c r="I99" s="56"/>
      <c r="J99" s="56"/>
      <c r="K99" s="279"/>
      <c r="L99" s="71"/>
      <c r="M99" s="274"/>
      <c r="N99" s="59"/>
      <c r="O99" s="56"/>
    </row>
    <row r="100" spans="1:15" ht="20.25" hidden="1" customHeight="1">
      <c r="A100" s="61"/>
      <c r="B100" s="70"/>
      <c r="C100" s="266"/>
      <c r="D100" s="55"/>
      <c r="E100" s="56"/>
      <c r="F100" s="56"/>
      <c r="G100" s="62"/>
      <c r="H100" s="77"/>
      <c r="I100" s="56"/>
      <c r="J100" s="56"/>
      <c r="K100" s="279"/>
      <c r="L100" s="71"/>
      <c r="M100" s="274"/>
      <c r="N100" s="59"/>
      <c r="O100" s="56"/>
    </row>
    <row r="101" spans="1:15" ht="20.25" hidden="1" customHeight="1">
      <c r="A101" s="61"/>
      <c r="B101" s="70"/>
      <c r="C101" s="266"/>
      <c r="D101" s="55"/>
      <c r="E101" s="56"/>
      <c r="F101" s="56"/>
      <c r="G101" s="62"/>
      <c r="H101" s="77"/>
      <c r="I101" s="56"/>
      <c r="J101" s="56"/>
      <c r="K101" s="279"/>
      <c r="L101" s="71"/>
      <c r="M101" s="274"/>
      <c r="N101" s="59"/>
      <c r="O101" s="56"/>
    </row>
    <row r="102" spans="1:15" ht="20.25" hidden="1" customHeight="1">
      <c r="A102" s="61"/>
      <c r="B102" s="70"/>
      <c r="C102" s="266"/>
      <c r="D102" s="55"/>
      <c r="E102" s="56"/>
      <c r="F102" s="56"/>
      <c r="G102" s="62"/>
      <c r="H102" s="77"/>
      <c r="I102" s="56"/>
      <c r="J102" s="56"/>
      <c r="K102" s="279"/>
      <c r="L102" s="71"/>
      <c r="M102" s="274"/>
      <c r="N102" s="59"/>
      <c r="O102" s="56"/>
    </row>
    <row r="103" spans="1:15" ht="20.25" hidden="1" customHeight="1">
      <c r="A103" s="61"/>
      <c r="B103" s="70"/>
      <c r="C103" s="266"/>
      <c r="D103" s="55"/>
      <c r="E103" s="56"/>
      <c r="F103" s="56"/>
      <c r="G103" s="62"/>
      <c r="H103" s="77"/>
      <c r="I103" s="56"/>
      <c r="J103" s="56"/>
      <c r="K103" s="279"/>
      <c r="L103" s="71"/>
      <c r="M103" s="274"/>
      <c r="N103" s="59"/>
      <c r="O103" s="56"/>
    </row>
    <row r="104" spans="1:15" ht="20.25" hidden="1" customHeight="1">
      <c r="A104" s="61"/>
      <c r="B104" s="70"/>
      <c r="C104" s="266"/>
      <c r="D104" s="55"/>
      <c r="E104" s="56"/>
      <c r="F104" s="56"/>
      <c r="G104" s="62"/>
      <c r="H104" s="77"/>
      <c r="I104" s="56"/>
      <c r="J104" s="56"/>
      <c r="K104" s="279"/>
      <c r="L104" s="71"/>
      <c r="M104" s="274"/>
      <c r="N104" s="59"/>
      <c r="O104" s="56"/>
    </row>
    <row r="105" spans="1:15" ht="20.25" hidden="1" customHeight="1">
      <c r="A105" s="61"/>
      <c r="B105" s="70"/>
      <c r="C105" s="266"/>
      <c r="D105" s="55"/>
      <c r="E105" s="56"/>
      <c r="F105" s="56"/>
      <c r="G105" s="62"/>
      <c r="H105" s="77"/>
      <c r="I105" s="56"/>
      <c r="J105" s="56"/>
      <c r="K105" s="279"/>
      <c r="L105" s="71"/>
      <c r="M105" s="274"/>
      <c r="N105" s="280"/>
      <c r="O105" s="56"/>
    </row>
    <row r="106" spans="1:15">
      <c r="N106" s="281"/>
    </row>
    <row r="115" spans="9:9">
      <c r="I115" s="74"/>
    </row>
  </sheetData>
  <printOptions horizont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116"/>
  <sheetViews>
    <sheetView topLeftCell="A43" zoomScale="70" zoomScaleNormal="70" workbookViewId="0">
      <selection activeCell="G81" sqref="G81"/>
    </sheetView>
  </sheetViews>
  <sheetFormatPr defaultColWidth="7.6640625" defaultRowHeight="17.25"/>
  <cols>
    <col min="1" max="1" width="15.6640625" style="143" customWidth="1"/>
    <col min="2" max="4" width="15.77734375" style="105" customWidth="1"/>
    <col min="5" max="10" width="15.77734375" style="143" customWidth="1"/>
    <col min="11" max="15" width="11" style="143" customWidth="1"/>
    <col min="16" max="16" width="11.77734375" style="143" customWidth="1"/>
    <col min="17" max="1024" width="7.6640625" style="143"/>
  </cols>
  <sheetData>
    <row r="1" spans="2:18">
      <c r="B1" s="282" t="s">
        <v>941</v>
      </c>
      <c r="C1" s="85"/>
      <c r="D1" s="85"/>
      <c r="E1" s="283"/>
    </row>
    <row r="2" spans="2:18">
      <c r="B2" s="282" t="s">
        <v>423</v>
      </c>
      <c r="C2" s="85"/>
      <c r="D2" s="85"/>
      <c r="E2" s="283"/>
    </row>
    <row r="3" spans="2:18">
      <c r="B3" s="88"/>
      <c r="C3" s="88"/>
      <c r="D3" s="88"/>
      <c r="E3" s="284"/>
      <c r="F3" s="163"/>
      <c r="G3" s="163"/>
      <c r="H3" s="163"/>
      <c r="I3" s="163"/>
    </row>
    <row r="4" spans="2:18">
      <c r="B4" s="152" t="s">
        <v>424</v>
      </c>
      <c r="C4" s="152" t="s">
        <v>425</v>
      </c>
      <c r="D4" s="152" t="s">
        <v>426</v>
      </c>
      <c r="E4" s="152" t="s">
        <v>427</v>
      </c>
      <c r="F4" s="152" t="s">
        <v>428</v>
      </c>
      <c r="G4" s="152" t="s">
        <v>429</v>
      </c>
      <c r="H4" s="152" t="s">
        <v>430</v>
      </c>
      <c r="I4" s="152" t="s">
        <v>431</v>
      </c>
      <c r="K4" s="105"/>
      <c r="P4" s="105"/>
      <c r="Q4" s="105"/>
      <c r="R4" s="105"/>
    </row>
    <row r="5" spans="2:18">
      <c r="B5" s="153" t="s">
        <v>432</v>
      </c>
      <c r="C5" s="153" t="s">
        <v>433</v>
      </c>
      <c r="D5" s="153" t="s">
        <v>434</v>
      </c>
      <c r="E5" s="153" t="s">
        <v>435</v>
      </c>
      <c r="F5" s="153" t="s">
        <v>436</v>
      </c>
      <c r="G5" s="153" t="s">
        <v>437</v>
      </c>
      <c r="H5" s="153" t="s">
        <v>438</v>
      </c>
      <c r="I5" s="153" t="s">
        <v>439</v>
      </c>
    </row>
    <row r="6" spans="2:18">
      <c r="B6" s="153" t="s">
        <v>440</v>
      </c>
      <c r="C6" s="153" t="s">
        <v>441</v>
      </c>
      <c r="D6" s="153" t="s">
        <v>442</v>
      </c>
      <c r="E6" s="153" t="s">
        <v>443</v>
      </c>
      <c r="F6" s="153" t="s">
        <v>444</v>
      </c>
      <c r="G6" s="153" t="s">
        <v>445</v>
      </c>
      <c r="H6" s="153" t="s">
        <v>446</v>
      </c>
      <c r="I6" s="153" t="s">
        <v>447</v>
      </c>
    </row>
    <row r="7" spans="2:18">
      <c r="B7" s="154" t="s">
        <v>448</v>
      </c>
      <c r="C7" s="154" t="s">
        <v>449</v>
      </c>
      <c r="D7" s="154" t="s">
        <v>450</v>
      </c>
      <c r="E7" s="154" t="s">
        <v>451</v>
      </c>
      <c r="F7" s="154" t="s">
        <v>452</v>
      </c>
      <c r="G7" s="154" t="s">
        <v>453</v>
      </c>
      <c r="H7" s="154" t="s">
        <v>454</v>
      </c>
      <c r="I7" s="154" t="s">
        <v>455</v>
      </c>
    </row>
    <row r="8" spans="2:18">
      <c r="B8" s="155" t="s">
        <v>257</v>
      </c>
      <c r="C8" s="156" t="s">
        <v>251</v>
      </c>
      <c r="D8" s="156" t="s">
        <v>245</v>
      </c>
      <c r="E8" s="156" t="s">
        <v>239</v>
      </c>
      <c r="F8" s="156" t="s">
        <v>233</v>
      </c>
      <c r="G8" s="156" t="s">
        <v>227</v>
      </c>
      <c r="H8" s="156" t="s">
        <v>221</v>
      </c>
      <c r="I8" s="157" t="s">
        <v>215</v>
      </c>
    </row>
    <row r="9" spans="2:18">
      <c r="B9" s="158" t="s">
        <v>263</v>
      </c>
      <c r="C9" s="159" t="s">
        <v>269</v>
      </c>
      <c r="D9" s="159" t="s">
        <v>275</v>
      </c>
      <c r="E9" s="159" t="s">
        <v>281</v>
      </c>
      <c r="F9" s="159" t="s">
        <v>300</v>
      </c>
      <c r="G9" s="159" t="s">
        <v>287</v>
      </c>
      <c r="H9" s="159" t="s">
        <v>305</v>
      </c>
      <c r="I9" s="160" t="s">
        <v>294</v>
      </c>
    </row>
    <row r="10" spans="2:18">
      <c r="B10" s="158" t="s">
        <v>314</v>
      </c>
      <c r="C10" s="159" t="s">
        <v>368</v>
      </c>
      <c r="D10" s="159" t="s">
        <v>362</v>
      </c>
      <c r="E10" s="159" t="s">
        <v>408</v>
      </c>
      <c r="F10" s="159" t="s">
        <v>330</v>
      </c>
      <c r="G10" s="159" t="s">
        <v>378</v>
      </c>
      <c r="H10" s="159" t="s">
        <v>403</v>
      </c>
      <c r="I10" s="160" t="s">
        <v>310</v>
      </c>
    </row>
    <row r="11" spans="2:18">
      <c r="B11" s="158" t="s">
        <v>382</v>
      </c>
      <c r="C11" s="159" t="s">
        <v>326</v>
      </c>
      <c r="D11" s="159" t="s">
        <v>350</v>
      </c>
      <c r="E11" s="159" t="s">
        <v>356</v>
      </c>
      <c r="F11" s="159" t="s">
        <v>412</v>
      </c>
      <c r="G11" s="159" t="s">
        <v>340</v>
      </c>
      <c r="H11" s="159" t="s">
        <v>397</v>
      </c>
      <c r="I11" s="160" t="s">
        <v>387</v>
      </c>
    </row>
    <row r="12" spans="2:18">
      <c r="B12" s="285" t="s">
        <v>860</v>
      </c>
      <c r="C12" s="161" t="s">
        <v>421</v>
      </c>
      <c r="D12" s="161" t="s">
        <v>416</v>
      </c>
      <c r="E12" s="161" t="s">
        <v>321</v>
      </c>
      <c r="F12" s="161" t="s">
        <v>345</v>
      </c>
      <c r="G12" s="161" t="s">
        <v>336</v>
      </c>
      <c r="H12" s="161" t="s">
        <v>373</v>
      </c>
      <c r="I12" s="162" t="s">
        <v>391</v>
      </c>
    </row>
    <row r="13" spans="2:18">
      <c r="B13" s="286" t="s">
        <v>942</v>
      </c>
      <c r="D13" s="143"/>
    </row>
    <row r="14" spans="2:18">
      <c r="D14" s="143"/>
    </row>
    <row r="15" spans="2:18">
      <c r="B15" s="143"/>
    </row>
    <row r="16" spans="2:18" ht="18">
      <c r="B16" s="143"/>
      <c r="D16" s="104"/>
      <c r="E16" s="105" t="s">
        <v>215</v>
      </c>
      <c r="F16" s="105"/>
      <c r="G16" s="105"/>
      <c r="H16" s="105"/>
      <c r="I16" s="105"/>
    </row>
    <row r="17" spans="2:15" ht="18">
      <c r="B17" s="143"/>
      <c r="E17" s="112" t="str">
        <f>VLOOKUP(E16,WD!$C$6:$M$69,3,FALSE())</f>
        <v>KB</v>
      </c>
      <c r="F17" s="287"/>
      <c r="G17" s="105"/>
      <c r="H17" s="105"/>
      <c r="I17" s="105"/>
    </row>
    <row r="18" spans="2:15">
      <c r="B18" s="105" t="s">
        <v>387</v>
      </c>
      <c r="C18" s="134"/>
      <c r="E18" s="110"/>
      <c r="F18" s="111" t="s">
        <v>464</v>
      </c>
      <c r="G18" s="105"/>
      <c r="H18" s="105"/>
      <c r="I18" s="105"/>
    </row>
    <row r="19" spans="2:15">
      <c r="B19" s="106" t="str">
        <f>VLOOKUP(B18,WD!$C$6:$M$69,3,FALSE())</f>
        <v>IC</v>
      </c>
      <c r="C19" s="107"/>
      <c r="E19" s="105"/>
      <c r="F19" s="114" t="s">
        <v>943</v>
      </c>
      <c r="G19" s="288" t="str">
        <f>E17</f>
        <v>KB</v>
      </c>
      <c r="H19" s="105"/>
      <c r="I19" s="105"/>
    </row>
    <row r="20" spans="2:15" ht="18">
      <c r="B20" s="175"/>
      <c r="C20" s="111" t="s">
        <v>466</v>
      </c>
      <c r="D20" s="117"/>
      <c r="E20" s="289" t="str">
        <f>B22</f>
        <v>YSYL</v>
      </c>
      <c r="F20" s="290"/>
      <c r="G20" s="185"/>
      <c r="H20" s="105"/>
      <c r="I20" s="105"/>
    </row>
    <row r="21" spans="2:15" ht="18">
      <c r="B21" s="291" t="s">
        <v>391</v>
      </c>
      <c r="C21" s="114" t="s">
        <v>944</v>
      </c>
      <c r="D21" s="292"/>
      <c r="E21" s="132"/>
      <c r="F21" s="293"/>
      <c r="G21" s="166" t="s">
        <v>945</v>
      </c>
      <c r="H21" s="125"/>
      <c r="I21" s="126" t="str">
        <f>G19</f>
        <v>KB</v>
      </c>
      <c r="J21" s="178" t="s">
        <v>462</v>
      </c>
    </row>
    <row r="22" spans="2:15" ht="18">
      <c r="B22" s="112" t="str">
        <f>VLOOKUP(B21,WD!$C$6:$M$69,3,FALSE())</f>
        <v>YSYL</v>
      </c>
      <c r="C22" s="139"/>
      <c r="E22" s="294" t="s">
        <v>294</v>
      </c>
      <c r="F22" s="293"/>
      <c r="G22" s="185" t="s">
        <v>946</v>
      </c>
      <c r="H22" s="105"/>
      <c r="I22" s="105"/>
    </row>
    <row r="23" spans="2:15" ht="18">
      <c r="B23" s="143"/>
      <c r="E23" s="106" t="str">
        <f>VLOOKUP(E22,WD!$C$6:$M$69,3,FALSE())</f>
        <v>KTL2</v>
      </c>
      <c r="F23" s="287"/>
      <c r="G23" s="139"/>
      <c r="H23" s="105"/>
      <c r="I23" s="105"/>
    </row>
    <row r="24" spans="2:15">
      <c r="B24" s="143"/>
      <c r="E24" s="105"/>
      <c r="F24" s="111" t="s">
        <v>468</v>
      </c>
      <c r="G24" s="106" t="str">
        <f>E26</f>
        <v>竹籤與魚蛋</v>
      </c>
      <c r="H24" s="105"/>
      <c r="I24" s="105"/>
    </row>
    <row r="25" spans="2:15">
      <c r="B25" s="143"/>
      <c r="E25" s="105" t="s">
        <v>310</v>
      </c>
      <c r="F25" s="114" t="s">
        <v>947</v>
      </c>
      <c r="G25" s="105"/>
      <c r="H25" s="105"/>
      <c r="I25" s="105"/>
    </row>
    <row r="26" spans="2:15" ht="18">
      <c r="B26" s="143"/>
      <c r="E26" s="112" t="str">
        <f>VLOOKUP(E25,WD!$C$6:$M$69,3,FALSE())</f>
        <v>竹籤與魚蛋</v>
      </c>
      <c r="F26" s="290"/>
      <c r="G26" s="294"/>
      <c r="H26" s="105"/>
      <c r="I26" s="105"/>
    </row>
    <row r="27" spans="2:15" ht="18">
      <c r="B27" s="143"/>
      <c r="E27" s="105"/>
      <c r="F27" s="295"/>
      <c r="G27" s="294"/>
      <c r="H27" s="294"/>
      <c r="I27" s="294"/>
      <c r="M27" s="294"/>
      <c r="N27" s="294"/>
      <c r="O27" s="170"/>
    </row>
    <row r="28" spans="2:15" ht="18">
      <c r="B28" s="143"/>
      <c r="E28" s="105" t="s">
        <v>263</v>
      </c>
      <c r="F28" s="296"/>
      <c r="G28" s="105"/>
      <c r="H28" s="105"/>
      <c r="I28" s="105"/>
    </row>
    <row r="29" spans="2:15" ht="18">
      <c r="B29" s="143"/>
      <c r="E29" s="112" t="str">
        <f>VLOOKUP(E28,WD!$C$6:$M$69,3,FALSE())</f>
        <v>ALPS-冰紅茶</v>
      </c>
      <c r="F29" s="287"/>
      <c r="G29" s="105"/>
      <c r="H29" s="105"/>
      <c r="I29" s="105"/>
    </row>
    <row r="30" spans="2:15">
      <c r="B30" s="143"/>
      <c r="E30" s="110"/>
      <c r="F30" s="111" t="s">
        <v>471</v>
      </c>
      <c r="G30" s="105"/>
      <c r="H30" s="105"/>
      <c r="I30" s="105"/>
    </row>
    <row r="31" spans="2:15">
      <c r="B31" s="143"/>
      <c r="E31" s="105" t="s">
        <v>314</v>
      </c>
      <c r="F31" s="142" t="s">
        <v>948</v>
      </c>
      <c r="G31" s="288" t="str">
        <f>E29</f>
        <v>ALPS-冰紅茶</v>
      </c>
      <c r="H31" s="105"/>
      <c r="I31" s="105"/>
    </row>
    <row r="32" spans="2:15" ht="18">
      <c r="B32" s="143"/>
      <c r="E32" s="106" t="str">
        <f>VLOOKUP(E31,WD!$C$6:$M$69,3,FALSE())</f>
        <v>黎啦喂</v>
      </c>
      <c r="F32" s="290"/>
      <c r="G32" s="185"/>
      <c r="H32" s="105"/>
      <c r="I32" s="105"/>
    </row>
    <row r="33" spans="2:10" ht="18">
      <c r="B33" s="143"/>
      <c r="E33" s="294"/>
      <c r="F33" s="293"/>
      <c r="G33" s="166" t="s">
        <v>513</v>
      </c>
      <c r="H33" s="125"/>
      <c r="I33" s="126" t="str">
        <f>G31</f>
        <v>ALPS-冰紅茶</v>
      </c>
      <c r="J33" s="178" t="s">
        <v>469</v>
      </c>
    </row>
    <row r="34" spans="2:10" ht="18">
      <c r="B34" s="143"/>
      <c r="E34" s="294" t="s">
        <v>257</v>
      </c>
      <c r="F34" s="293"/>
      <c r="G34" s="185" t="s">
        <v>949</v>
      </c>
      <c r="H34" s="105"/>
      <c r="I34" s="105"/>
    </row>
    <row r="35" spans="2:10" ht="18">
      <c r="B35" s="143"/>
      <c r="E35" s="106" t="str">
        <f>VLOOKUP(E34,WD!$C$6:$M$69,3,FALSE())</f>
        <v>加路連山道</v>
      </c>
      <c r="F35" s="287"/>
      <c r="G35" s="139"/>
      <c r="H35" s="105"/>
      <c r="I35" s="105"/>
    </row>
    <row r="36" spans="2:10">
      <c r="B36" s="105" t="s">
        <v>382</v>
      </c>
      <c r="C36" s="291"/>
      <c r="E36" s="110"/>
      <c r="F36" s="111" t="s">
        <v>509</v>
      </c>
      <c r="G36" s="139" t="str">
        <f>E38</f>
        <v>C+May</v>
      </c>
      <c r="H36" s="105"/>
      <c r="I36" s="105"/>
    </row>
    <row r="37" spans="2:10">
      <c r="B37" s="106">
        <f>VLOOKUP(B36,WD!$C$6:$M$69,3,FALSE())</f>
        <v>1021</v>
      </c>
      <c r="C37" s="107"/>
      <c r="E37" s="105"/>
      <c r="F37" s="114" t="s">
        <v>950</v>
      </c>
      <c r="G37" s="292"/>
      <c r="H37" s="105"/>
      <c r="I37" s="105"/>
    </row>
    <row r="38" spans="2:10" ht="18">
      <c r="B38" s="175"/>
      <c r="C38" s="111" t="s">
        <v>511</v>
      </c>
      <c r="D38" s="117"/>
      <c r="E38" s="112" t="str">
        <f>B40</f>
        <v>C+May</v>
      </c>
      <c r="F38" s="290"/>
      <c r="G38" s="294"/>
      <c r="H38" s="105"/>
      <c r="I38" s="105"/>
    </row>
    <row r="39" spans="2:10" ht="18">
      <c r="B39" s="291" t="s">
        <v>860</v>
      </c>
      <c r="C39" s="114" t="s">
        <v>951</v>
      </c>
      <c r="E39" s="105"/>
      <c r="F39" s="295"/>
      <c r="G39" s="105"/>
      <c r="H39" s="105"/>
      <c r="I39" s="105"/>
    </row>
    <row r="40" spans="2:10">
      <c r="B40" s="112" t="str">
        <f>VLOOKUP(B39,WD!$C$6:$M$69,3,FALSE())</f>
        <v>C+May</v>
      </c>
      <c r="C40" s="139"/>
      <c r="G40" s="105"/>
      <c r="H40" s="105"/>
      <c r="I40" s="105"/>
    </row>
    <row r="41" spans="2:10" ht="18">
      <c r="B41" s="110"/>
      <c r="C41" s="110"/>
      <c r="E41" s="105" t="s">
        <v>239</v>
      </c>
      <c r="F41" s="296"/>
      <c r="G41" s="105"/>
      <c r="H41" s="105"/>
      <c r="I41" s="105"/>
    </row>
    <row r="42" spans="2:10" ht="18">
      <c r="E42" s="106" t="str">
        <f>VLOOKUP(E41,WD!$C$6:$M$69,3,FALSE())</f>
        <v>昭耀</v>
      </c>
      <c r="F42" s="287"/>
      <c r="G42" s="105"/>
      <c r="H42" s="105"/>
      <c r="I42" s="105"/>
    </row>
    <row r="43" spans="2:10">
      <c r="B43" s="105" t="s">
        <v>356</v>
      </c>
      <c r="C43" s="291"/>
      <c r="E43" s="110"/>
      <c r="F43" s="111" t="s">
        <v>480</v>
      </c>
      <c r="G43" s="105"/>
      <c r="H43" s="105"/>
      <c r="I43" s="105"/>
    </row>
    <row r="44" spans="2:10">
      <c r="B44" s="106" t="str">
        <f>VLOOKUP(B43,WD!$C$6:$M$69,3,FALSE())</f>
        <v>文武雙全</v>
      </c>
      <c r="C44" s="107"/>
      <c r="E44" s="105"/>
      <c r="F44" s="114" t="s">
        <v>952</v>
      </c>
      <c r="G44" s="288" t="str">
        <f>E45</f>
        <v>YB</v>
      </c>
      <c r="H44" s="105"/>
      <c r="I44" s="105"/>
    </row>
    <row r="45" spans="2:10" ht="18">
      <c r="B45" s="175"/>
      <c r="C45" s="111" t="s">
        <v>489</v>
      </c>
      <c r="D45" s="117"/>
      <c r="E45" s="288" t="str">
        <f>B47</f>
        <v>YB</v>
      </c>
      <c r="F45" s="290"/>
      <c r="G45" s="185"/>
      <c r="H45" s="105"/>
      <c r="I45" s="105"/>
    </row>
    <row r="46" spans="2:10" ht="18">
      <c r="B46" s="291" t="s">
        <v>321</v>
      </c>
      <c r="C46" s="114" t="s">
        <v>953</v>
      </c>
      <c r="E46" s="294"/>
      <c r="F46" s="293"/>
      <c r="G46" s="166" t="s">
        <v>484</v>
      </c>
      <c r="H46" s="125"/>
      <c r="I46" s="126" t="str">
        <f>G44</f>
        <v>YB</v>
      </c>
      <c r="J46" s="178" t="s">
        <v>478</v>
      </c>
    </row>
    <row r="47" spans="2:10" ht="18">
      <c r="B47" s="112" t="str">
        <f>VLOOKUP(B46,WD!$C$6:$M$69,3,FALSE())</f>
        <v>YB</v>
      </c>
      <c r="C47" s="139"/>
      <c r="E47" s="294" t="s">
        <v>281</v>
      </c>
      <c r="F47" s="293"/>
      <c r="G47" s="185" t="s">
        <v>954</v>
      </c>
      <c r="H47" s="105"/>
      <c r="I47" s="105"/>
    </row>
    <row r="48" spans="2:10" ht="18">
      <c r="B48" s="143"/>
      <c r="E48" s="106" t="str">
        <f>VLOOKUP(E47,WD!$C$6:$M$69,3,FALSE())</f>
        <v>必賢</v>
      </c>
      <c r="F48" s="287"/>
      <c r="G48" s="139"/>
      <c r="H48" s="105"/>
      <c r="I48" s="105"/>
    </row>
    <row r="49" spans="2:10">
      <c r="B49" s="143"/>
      <c r="E49" s="105"/>
      <c r="F49" s="111" t="s">
        <v>482</v>
      </c>
      <c r="G49" s="106" t="str">
        <f>E51</f>
        <v>DB Rainbow</v>
      </c>
      <c r="H49" s="105"/>
      <c r="I49" s="105"/>
    </row>
    <row r="50" spans="2:10">
      <c r="B50" s="143"/>
      <c r="E50" s="105" t="s">
        <v>408</v>
      </c>
      <c r="F50" s="114" t="s">
        <v>955</v>
      </c>
      <c r="G50" s="105"/>
      <c r="H50" s="105"/>
      <c r="I50" s="105"/>
    </row>
    <row r="51" spans="2:10" ht="18">
      <c r="B51" s="143"/>
      <c r="E51" s="112" t="str">
        <f>VLOOKUP(E50,WD!$C$6:$M$69,3,FALSE())</f>
        <v>DB Rainbow</v>
      </c>
      <c r="F51" s="290"/>
      <c r="G51" s="294"/>
      <c r="H51" s="105"/>
      <c r="I51" s="105"/>
    </row>
    <row r="52" spans="2:10" ht="18">
      <c r="B52" s="143"/>
      <c r="E52" s="105"/>
      <c r="F52" s="295"/>
      <c r="G52" s="294"/>
      <c r="H52" s="294"/>
      <c r="I52" s="105"/>
    </row>
    <row r="53" spans="2:10" ht="18">
      <c r="B53" s="143"/>
      <c r="E53" s="105" t="s">
        <v>300</v>
      </c>
      <c r="F53" s="296"/>
      <c r="G53" s="105"/>
      <c r="H53" s="105"/>
      <c r="I53" s="105"/>
    </row>
    <row r="54" spans="2:10" ht="18">
      <c r="B54" s="143"/>
      <c r="E54" s="112" t="str">
        <f>VLOOKUP(E53,WD!$C$6:$M$69,3,FALSE())</f>
        <v>夏日姑姑茶</v>
      </c>
      <c r="F54" s="287"/>
      <c r="G54" s="105"/>
      <c r="H54" s="105"/>
      <c r="I54" s="105"/>
    </row>
    <row r="55" spans="2:10">
      <c r="B55" s="143"/>
      <c r="E55" s="110"/>
      <c r="F55" s="111" t="s">
        <v>487</v>
      </c>
      <c r="G55" s="105"/>
      <c r="H55" s="105"/>
      <c r="I55" s="105"/>
    </row>
    <row r="56" spans="2:10">
      <c r="B56" s="143"/>
      <c r="E56" s="105" t="s">
        <v>330</v>
      </c>
      <c r="F56" s="114" t="s">
        <v>956</v>
      </c>
      <c r="G56" s="288" t="str">
        <f>E54</f>
        <v>夏日姑姑茶</v>
      </c>
      <c r="H56" s="105"/>
      <c r="I56" s="105"/>
    </row>
    <row r="57" spans="2:10" ht="18">
      <c r="B57" s="143"/>
      <c r="E57" s="106" t="str">
        <f>VLOOKUP(E56,WD!$C$6:$M$69,3,FALSE())</f>
        <v>Bulubulu</v>
      </c>
      <c r="F57" s="290"/>
      <c r="G57" s="185"/>
      <c r="H57" s="105"/>
      <c r="I57" s="105"/>
    </row>
    <row r="58" spans="2:10" ht="18">
      <c r="B58" s="143"/>
      <c r="E58" s="294"/>
      <c r="F58" s="293"/>
      <c r="G58" s="166" t="s">
        <v>495</v>
      </c>
      <c r="H58" s="125"/>
      <c r="I58" s="126" t="str">
        <f>G56</f>
        <v>夏日姑姑茶</v>
      </c>
      <c r="J58" s="178" t="s">
        <v>485</v>
      </c>
    </row>
    <row r="59" spans="2:10" ht="18">
      <c r="B59" s="143"/>
      <c r="E59" s="294" t="s">
        <v>233</v>
      </c>
      <c r="F59" s="293"/>
      <c r="G59" s="185" t="s">
        <v>957</v>
      </c>
      <c r="H59" s="105"/>
      <c r="I59" s="105"/>
    </row>
    <row r="60" spans="2:10" ht="18">
      <c r="B60" s="143"/>
      <c r="E60" s="106" t="str">
        <f>VLOOKUP(E59,WD!$C$6:$M$69,3,FALSE())</f>
        <v>顯耀</v>
      </c>
      <c r="F60" s="287"/>
      <c r="G60" s="139"/>
      <c r="H60" s="105"/>
      <c r="I60" s="105"/>
    </row>
    <row r="61" spans="2:10">
      <c r="B61" s="105" t="s">
        <v>412</v>
      </c>
      <c r="C61" s="291"/>
      <c r="E61" s="105"/>
      <c r="F61" s="111" t="s">
        <v>491</v>
      </c>
      <c r="G61" s="106" t="str">
        <f>E63</f>
        <v>雙曉妹</v>
      </c>
      <c r="H61" s="105"/>
      <c r="I61" s="105"/>
    </row>
    <row r="62" spans="2:10">
      <c r="B62" s="112" t="str">
        <f>VLOOKUP(B61,WD!$C$6:$M$69,3,FALSE())</f>
        <v>雙曉妹</v>
      </c>
      <c r="C62" s="107"/>
      <c r="E62" s="105"/>
      <c r="F62" s="114" t="s">
        <v>958</v>
      </c>
      <c r="G62" s="105"/>
      <c r="H62" s="105"/>
      <c r="I62" s="105"/>
    </row>
    <row r="63" spans="2:10" ht="18">
      <c r="B63" s="175"/>
      <c r="C63" s="111" t="s">
        <v>493</v>
      </c>
      <c r="D63" s="117"/>
      <c r="E63" s="288" t="str">
        <f>B62</f>
        <v>雙曉妹</v>
      </c>
      <c r="F63" s="290"/>
      <c r="G63" s="294"/>
      <c r="H63" s="105"/>
      <c r="I63" s="105"/>
    </row>
    <row r="64" spans="2:10" ht="18">
      <c r="B64" s="291" t="s">
        <v>345</v>
      </c>
      <c r="C64" s="114" t="s">
        <v>959</v>
      </c>
      <c r="E64" s="105"/>
      <c r="F64" s="295"/>
      <c r="G64" s="105"/>
      <c r="H64" s="105"/>
      <c r="I64" s="105"/>
    </row>
    <row r="65" spans="2:10">
      <c r="B65" s="106" t="str">
        <f>VLOOKUP(B64,WD!$C$6:$M$69,3,FALSE())</f>
        <v>KTL1</v>
      </c>
      <c r="C65" s="139"/>
      <c r="G65" s="105"/>
      <c r="H65" s="105"/>
      <c r="I65" s="105"/>
    </row>
    <row r="66" spans="2:10" ht="18">
      <c r="B66" s="110"/>
      <c r="C66" s="110"/>
      <c r="E66" s="105" t="s">
        <v>227</v>
      </c>
      <c r="F66" s="296"/>
      <c r="G66" s="105"/>
      <c r="H66" s="105"/>
      <c r="I66" s="105"/>
    </row>
    <row r="67" spans="2:10" ht="18">
      <c r="E67" s="112" t="str">
        <f>VLOOKUP(E66,WD!$C$6:$M$69,3,FALSE())</f>
        <v>Loveu送剛</v>
      </c>
      <c r="F67" s="287"/>
      <c r="G67" s="105"/>
      <c r="H67" s="105"/>
      <c r="I67" s="105"/>
    </row>
    <row r="68" spans="2:10">
      <c r="B68" s="105" t="s">
        <v>340</v>
      </c>
      <c r="C68" s="291"/>
      <c r="E68" s="110"/>
      <c r="F68" s="111" t="s">
        <v>498</v>
      </c>
      <c r="G68" s="105"/>
      <c r="H68" s="105"/>
      <c r="I68" s="105"/>
    </row>
    <row r="69" spans="2:10">
      <c r="B69" s="106" t="str">
        <f>VLOOKUP(B68,WD!$C$6:$M$69,3,FALSE())</f>
        <v>憑乜野</v>
      </c>
      <c r="C69" s="107"/>
      <c r="E69" s="105"/>
      <c r="F69" s="297" t="s">
        <v>960</v>
      </c>
      <c r="G69" s="289" t="str">
        <f>E67</f>
        <v>Loveu送剛</v>
      </c>
      <c r="H69" s="105"/>
      <c r="I69" s="105"/>
    </row>
    <row r="70" spans="2:10" ht="18">
      <c r="B70" s="175"/>
      <c r="C70" s="111" t="s">
        <v>524</v>
      </c>
      <c r="D70" s="117"/>
      <c r="E70" s="289" t="str">
        <f>B72</f>
        <v>佛系世一</v>
      </c>
      <c r="F70" s="290"/>
      <c r="G70" s="185"/>
      <c r="H70" s="105"/>
      <c r="I70" s="105"/>
    </row>
    <row r="71" spans="2:10" ht="18">
      <c r="B71" s="291" t="s">
        <v>336</v>
      </c>
      <c r="C71" s="142" t="s">
        <v>961</v>
      </c>
      <c r="E71" s="294"/>
      <c r="F71" s="293"/>
      <c r="G71" s="166" t="s">
        <v>519</v>
      </c>
      <c r="H71" s="125"/>
      <c r="I71" s="126" t="str">
        <f>G74</f>
        <v>SCAA Mang Ling</v>
      </c>
      <c r="J71" s="178" t="s">
        <v>496</v>
      </c>
    </row>
    <row r="72" spans="2:10" ht="18">
      <c r="B72" s="112" t="str">
        <f>VLOOKUP(B71,WD!$C$6:$M$69,3,FALSE())</f>
        <v>佛系世一</v>
      </c>
      <c r="C72" s="139"/>
      <c r="E72" s="294" t="s">
        <v>287</v>
      </c>
      <c r="F72" s="293"/>
      <c r="G72" s="185" t="s">
        <v>962</v>
      </c>
      <c r="H72" s="105"/>
      <c r="I72" s="105"/>
    </row>
    <row r="73" spans="2:10" ht="18">
      <c r="B73" s="143"/>
      <c r="E73" s="106" t="str">
        <f>VLOOKUP(E72,WD!$C$6:$M$69,3,FALSE())</f>
        <v>見字飲水</v>
      </c>
      <c r="F73" s="287"/>
      <c r="G73" s="139"/>
      <c r="H73" s="105"/>
      <c r="I73" s="105"/>
    </row>
    <row r="74" spans="2:10">
      <c r="B74" s="143"/>
      <c r="E74" s="105"/>
      <c r="F74" s="111" t="s">
        <v>517</v>
      </c>
      <c r="G74" s="112" t="str">
        <f>E76</f>
        <v>SCAA Mang Ling</v>
      </c>
      <c r="H74" s="105"/>
      <c r="I74" s="105"/>
    </row>
    <row r="75" spans="2:10">
      <c r="B75" s="143"/>
      <c r="E75" s="105" t="s">
        <v>378</v>
      </c>
      <c r="F75" s="114" t="s">
        <v>963</v>
      </c>
      <c r="G75" s="105"/>
      <c r="H75" s="105"/>
      <c r="I75" s="105"/>
    </row>
    <row r="76" spans="2:10" ht="18">
      <c r="B76" s="143"/>
      <c r="E76" s="112" t="str">
        <f>VLOOKUP(E75,WD!$C$6:$M$69,3,FALSE())</f>
        <v>SCAA Mang Ling</v>
      </c>
      <c r="F76" s="290"/>
      <c r="G76" s="294"/>
      <c r="H76" s="105"/>
      <c r="I76" s="105"/>
    </row>
    <row r="77" spans="2:10" ht="18">
      <c r="B77" s="143"/>
      <c r="E77" s="105"/>
      <c r="F77" s="295"/>
      <c r="G77" s="294"/>
      <c r="H77" s="294"/>
      <c r="I77" s="105"/>
    </row>
    <row r="78" spans="2:10" ht="18">
      <c r="B78" s="143"/>
      <c r="E78" s="105" t="s">
        <v>275</v>
      </c>
      <c r="F78" s="296"/>
      <c r="G78" s="105"/>
      <c r="H78" s="105"/>
      <c r="I78" s="105"/>
    </row>
    <row r="79" spans="2:10" ht="18">
      <c r="B79" s="143"/>
      <c r="E79" s="112" t="str">
        <f>VLOOKUP(E78,WD!$C$6:$M$69,3,FALSE())</f>
        <v>Ma Ling</v>
      </c>
      <c r="F79" s="287"/>
      <c r="G79" s="105"/>
      <c r="H79" s="105"/>
      <c r="I79" s="105"/>
    </row>
    <row r="80" spans="2:10">
      <c r="B80" s="143"/>
      <c r="E80" s="110"/>
      <c r="F80" s="111" t="s">
        <v>505</v>
      </c>
      <c r="G80" s="105"/>
      <c r="H80" s="105"/>
      <c r="I80" s="105"/>
    </row>
    <row r="81" spans="2:10">
      <c r="B81" s="143"/>
      <c r="E81" s="105" t="s">
        <v>362</v>
      </c>
      <c r="F81" s="114" t="s">
        <v>964</v>
      </c>
      <c r="G81" s="289" t="str">
        <f>E79</f>
        <v>Ma Ling</v>
      </c>
      <c r="H81" s="105"/>
      <c r="I81" s="105"/>
    </row>
    <row r="82" spans="2:10" ht="18">
      <c r="B82" s="143"/>
      <c r="E82" s="106" t="str">
        <f>VLOOKUP(E81,WD!$C$6:$M$69,3,FALSE())</f>
        <v>乒鈴嘭唥</v>
      </c>
      <c r="F82" s="290"/>
      <c r="G82" s="185"/>
      <c r="H82" s="105"/>
      <c r="I82" s="105"/>
    </row>
    <row r="83" spans="2:10" ht="18">
      <c r="B83" s="143"/>
      <c r="E83" s="294"/>
      <c r="F83" s="293"/>
      <c r="G83" s="166" t="s">
        <v>477</v>
      </c>
      <c r="H83" s="125"/>
      <c r="I83" s="298" t="str">
        <f>G86</f>
        <v>HEUI</v>
      </c>
      <c r="J83" s="178" t="s">
        <v>503</v>
      </c>
    </row>
    <row r="84" spans="2:10" ht="18">
      <c r="B84" s="143"/>
      <c r="E84" s="294" t="s">
        <v>245</v>
      </c>
      <c r="F84" s="293"/>
      <c r="G84" s="185" t="s">
        <v>965</v>
      </c>
      <c r="H84" s="105"/>
      <c r="I84" s="105"/>
    </row>
    <row r="85" spans="2:10" ht="18">
      <c r="B85" s="143"/>
      <c r="E85" s="112" t="str">
        <f>VLOOKUP(E84,WD!$C$6:$M$69,3,FALSE())</f>
        <v>HEUI</v>
      </c>
      <c r="F85" s="287"/>
      <c r="G85" s="139"/>
      <c r="H85" s="105"/>
      <c r="I85" s="105"/>
    </row>
    <row r="86" spans="2:10">
      <c r="B86" s="105" t="s">
        <v>350</v>
      </c>
      <c r="C86" s="291"/>
      <c r="E86" s="105"/>
      <c r="F86" s="111" t="s">
        <v>473</v>
      </c>
      <c r="G86" s="112" t="str">
        <f>E85</f>
        <v>HEUI</v>
      </c>
      <c r="H86" s="105"/>
      <c r="I86" s="105"/>
    </row>
    <row r="87" spans="2:10">
      <c r="B87" s="106" t="str">
        <f>VLOOKUP(B86,WD!$C$6:$M$69,3,FALSE())</f>
        <v>sui4</v>
      </c>
      <c r="C87" s="114"/>
      <c r="E87" s="105"/>
      <c r="F87" s="114" t="s">
        <v>966</v>
      </c>
      <c r="G87" s="105"/>
      <c r="H87" s="105"/>
      <c r="I87" s="105"/>
    </row>
    <row r="88" spans="2:10" ht="18">
      <c r="B88" s="175"/>
      <c r="C88" s="111" t="s">
        <v>475</v>
      </c>
      <c r="D88" s="117"/>
      <c r="E88" s="289" t="str">
        <f>B90</f>
        <v>難搞喔</v>
      </c>
      <c r="F88" s="290"/>
      <c r="G88" s="294"/>
      <c r="H88" s="105"/>
      <c r="I88" s="105"/>
    </row>
    <row r="89" spans="2:10" ht="18">
      <c r="B89" s="291" t="s">
        <v>416</v>
      </c>
      <c r="C89" s="114" t="s">
        <v>967</v>
      </c>
      <c r="E89" s="105"/>
      <c r="F89" s="295"/>
      <c r="G89" s="105"/>
      <c r="H89" s="105"/>
      <c r="I89" s="105"/>
    </row>
    <row r="90" spans="2:10">
      <c r="B90" s="112" t="str">
        <f>VLOOKUP(B89,WD!$C$6:$M$69,3,FALSE())</f>
        <v>難搞喔</v>
      </c>
      <c r="C90" s="139"/>
      <c r="G90" s="105"/>
      <c r="H90" s="105"/>
      <c r="I90" s="105"/>
    </row>
    <row r="91" spans="2:10" ht="18">
      <c r="B91" s="110"/>
      <c r="C91" s="110"/>
      <c r="E91" s="105" t="s">
        <v>251</v>
      </c>
      <c r="F91" s="296"/>
      <c r="G91" s="105"/>
      <c r="H91" s="105"/>
      <c r="I91" s="105"/>
    </row>
    <row r="92" spans="2:10" ht="18">
      <c r="E92" s="112" t="str">
        <f>VLOOKUP(E91,WD!$C$6:$M$69,3,FALSE())</f>
        <v>ELLY</v>
      </c>
      <c r="F92" s="287"/>
      <c r="G92" s="105"/>
      <c r="H92" s="105"/>
      <c r="I92" s="105"/>
    </row>
    <row r="93" spans="2:10">
      <c r="B93" s="105" t="s">
        <v>326</v>
      </c>
      <c r="C93" s="291"/>
      <c r="E93" s="110"/>
      <c r="F93" s="111" t="s">
        <v>515</v>
      </c>
      <c r="G93" s="105"/>
      <c r="H93" s="105"/>
      <c r="I93" s="105"/>
    </row>
    <row r="94" spans="2:10">
      <c r="B94" s="112" t="str">
        <f>VLOOKUP(B93,WD!$C$6:$M$69,3,FALSE())</f>
        <v>鬼俺眼</v>
      </c>
      <c r="C94" s="107"/>
      <c r="E94" s="105"/>
      <c r="F94" s="114" t="s">
        <v>968</v>
      </c>
      <c r="G94" s="289" t="str">
        <f>E92</f>
        <v>ELLY</v>
      </c>
      <c r="H94" s="105"/>
      <c r="I94" s="105"/>
    </row>
    <row r="95" spans="2:10" ht="18">
      <c r="B95" s="175"/>
      <c r="C95" s="111" t="s">
        <v>507</v>
      </c>
      <c r="D95" s="117"/>
      <c r="E95" s="289" t="str">
        <f>B94</f>
        <v>鬼俺眼</v>
      </c>
      <c r="F95" s="290"/>
      <c r="G95" s="185"/>
      <c r="H95" s="105"/>
      <c r="I95" s="105"/>
    </row>
    <row r="96" spans="2:10" ht="18">
      <c r="B96" s="291" t="s">
        <v>421</v>
      </c>
      <c r="C96" s="114" t="s">
        <v>969</v>
      </c>
      <c r="E96" s="294"/>
      <c r="F96" s="293"/>
      <c r="G96" s="166" t="s">
        <v>502</v>
      </c>
      <c r="H96" s="125"/>
      <c r="I96" s="126" t="s">
        <v>826</v>
      </c>
      <c r="J96" s="178" t="s">
        <v>514</v>
      </c>
    </row>
    <row r="97" spans="2:10" ht="18">
      <c r="B97" s="106" t="str">
        <f>VLOOKUP(B96,WD!$C$6:$M$69,3,FALSE())</f>
        <v>OUT OUT</v>
      </c>
      <c r="C97" s="139"/>
      <c r="E97" s="294" t="s">
        <v>269</v>
      </c>
      <c r="F97" s="293"/>
      <c r="G97" s="185" t="s">
        <v>970</v>
      </c>
      <c r="H97" s="105"/>
      <c r="I97" s="105"/>
    </row>
    <row r="98" spans="2:10" ht="18">
      <c r="B98" s="143"/>
      <c r="E98" s="112" t="str">
        <f>VLOOKUP(E97,WD!$C$6:$M$69,3,FALSE())</f>
        <v>KT</v>
      </c>
      <c r="F98" s="287"/>
      <c r="G98" s="139"/>
      <c r="H98" s="105"/>
      <c r="I98" s="105"/>
    </row>
    <row r="99" spans="2:10">
      <c r="B99" s="143"/>
      <c r="E99" s="105"/>
      <c r="F99" s="111" t="s">
        <v>500</v>
      </c>
      <c r="G99" s="112" t="str">
        <f>E98</f>
        <v>KT</v>
      </c>
      <c r="H99" s="105"/>
      <c r="I99" s="105"/>
    </row>
    <row r="100" spans="2:10">
      <c r="B100" s="143"/>
      <c r="E100" s="105" t="s">
        <v>368</v>
      </c>
      <c r="F100" s="114" t="s">
        <v>971</v>
      </c>
      <c r="G100" s="105"/>
      <c r="H100" s="105"/>
      <c r="I100" s="105"/>
    </row>
    <row r="101" spans="2:10" ht="18">
      <c r="B101" s="143"/>
      <c r="E101" s="106" t="str">
        <f>VLOOKUP(E100,WD!$C$6:$M$69,3,FALSE())</f>
        <v>Cheers</v>
      </c>
      <c r="F101" s="290"/>
      <c r="G101" s="294"/>
      <c r="H101" s="105"/>
      <c r="I101" s="105"/>
    </row>
    <row r="102" spans="2:10" ht="18">
      <c r="B102" s="143"/>
      <c r="E102" s="105"/>
      <c r="F102" s="295"/>
      <c r="G102" s="294"/>
      <c r="H102" s="294"/>
      <c r="I102" s="105"/>
    </row>
    <row r="103" spans="2:10" ht="18">
      <c r="B103" s="143"/>
      <c r="E103" s="105" t="s">
        <v>305</v>
      </c>
      <c r="F103" s="296"/>
      <c r="G103" s="105"/>
      <c r="H103" s="105"/>
      <c r="I103" s="105"/>
    </row>
    <row r="104" spans="2:10" ht="18">
      <c r="B104" s="143"/>
      <c r="E104" s="106" t="str">
        <f>VLOOKUP(E103,WD!$C$6:$M$69,3,FALSE())</f>
        <v>零防守</v>
      </c>
      <c r="F104" s="287"/>
      <c r="G104" s="105"/>
      <c r="H104" s="105"/>
      <c r="I104" s="105"/>
    </row>
    <row r="105" spans="2:10">
      <c r="B105" s="143"/>
      <c r="E105" s="110"/>
      <c r="F105" s="111" t="s">
        <v>522</v>
      </c>
      <c r="G105" s="105"/>
      <c r="H105" s="105"/>
      <c r="I105" s="105"/>
    </row>
    <row r="106" spans="2:10">
      <c r="B106" s="143"/>
      <c r="E106" s="105" t="s">
        <v>403</v>
      </c>
      <c r="F106" s="114" t="s">
        <v>972</v>
      </c>
      <c r="G106" s="288" t="str">
        <f>E107</f>
        <v>USA-NZ</v>
      </c>
      <c r="H106" s="105"/>
      <c r="I106" s="105"/>
    </row>
    <row r="107" spans="2:10" ht="18">
      <c r="B107" s="143"/>
      <c r="E107" s="112" t="str">
        <f>VLOOKUP(E106,WD!$C$6:$M$69,3,FALSE())</f>
        <v>USA-NZ</v>
      </c>
      <c r="F107" s="290"/>
      <c r="G107" s="185"/>
      <c r="H107" s="105"/>
      <c r="I107" s="105"/>
    </row>
    <row r="108" spans="2:10" ht="18">
      <c r="B108" s="143"/>
      <c r="E108" s="294"/>
      <c r="F108" s="293"/>
      <c r="G108" s="166" t="s">
        <v>461</v>
      </c>
      <c r="H108" s="125"/>
      <c r="I108" s="126" t="str">
        <f>G106</f>
        <v>USA-NZ</v>
      </c>
      <c r="J108" s="178" t="s">
        <v>520</v>
      </c>
    </row>
    <row r="109" spans="2:10" ht="18">
      <c r="B109" s="143"/>
      <c r="E109" s="294" t="s">
        <v>221</v>
      </c>
      <c r="F109" s="293"/>
      <c r="G109" s="185" t="s">
        <v>973</v>
      </c>
      <c r="H109" s="105"/>
      <c r="I109" s="105"/>
    </row>
    <row r="110" spans="2:10" ht="18">
      <c r="B110" s="143"/>
      <c r="E110" s="112" t="str">
        <f>VLOOKUP(E109,WD!$C$6:$M$69,3,FALSE())</f>
        <v>思敏儀</v>
      </c>
      <c r="F110" s="287"/>
      <c r="G110" s="139"/>
      <c r="H110" s="105"/>
      <c r="I110" s="105"/>
    </row>
    <row r="111" spans="2:10">
      <c r="B111" s="105" t="s">
        <v>397</v>
      </c>
      <c r="C111" s="291"/>
      <c r="E111" s="105"/>
      <c r="F111" s="111" t="s">
        <v>457</v>
      </c>
      <c r="G111" s="106" t="str">
        <f>E110</f>
        <v>思敏儀</v>
      </c>
      <c r="H111" s="105"/>
      <c r="I111" s="105"/>
    </row>
    <row r="112" spans="2:10">
      <c r="B112" s="112" t="str">
        <f>VLOOKUP(B111,WD!$C$6:$M$69,3,FALSE())</f>
        <v>你個野壞咗</v>
      </c>
      <c r="C112" s="107"/>
      <c r="E112" s="105"/>
      <c r="F112" s="114" t="s">
        <v>974</v>
      </c>
      <c r="G112" s="105"/>
      <c r="H112" s="105"/>
      <c r="I112" s="105"/>
    </row>
    <row r="113" spans="2:9" ht="18">
      <c r="B113" s="175"/>
      <c r="C113" s="111" t="s">
        <v>459</v>
      </c>
      <c r="D113" s="117"/>
      <c r="E113" s="289" t="str">
        <f>B112</f>
        <v>你個野壞咗</v>
      </c>
      <c r="F113" s="290"/>
      <c r="G113" s="294"/>
      <c r="H113" s="105"/>
      <c r="I113" s="105"/>
    </row>
    <row r="114" spans="2:9">
      <c r="B114" s="291" t="s">
        <v>373</v>
      </c>
      <c r="C114" s="114" t="s">
        <v>975</v>
      </c>
      <c r="E114" s="105"/>
      <c r="F114" s="105"/>
      <c r="G114" s="105"/>
      <c r="H114" s="105"/>
      <c r="I114" s="105"/>
    </row>
    <row r="115" spans="2:9">
      <c r="B115" s="106" t="str">
        <f>VLOOKUP(B114,WD!$C$6:$M$69,3,FALSE())</f>
        <v>希其</v>
      </c>
      <c r="C115" s="139"/>
      <c r="E115" s="105"/>
      <c r="F115" s="105"/>
      <c r="G115" s="105"/>
      <c r="H115" s="105"/>
      <c r="I115" s="105"/>
    </row>
    <row r="116" spans="2:9">
      <c r="B116" s="143"/>
      <c r="E116" s="105"/>
    </row>
  </sheetData>
  <pageMargins left="0.35416666666666702" right="0.35416666666666702" top="0.78749999999999998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156"/>
  <sheetViews>
    <sheetView topLeftCell="A41" zoomScale="70" zoomScaleNormal="70" workbookViewId="0">
      <selection activeCell="E76" sqref="E76:F84"/>
    </sheetView>
  </sheetViews>
  <sheetFormatPr defaultColWidth="7.6640625" defaultRowHeight="17.25"/>
  <cols>
    <col min="1" max="1" width="8.77734375" style="81" customWidth="1"/>
    <col min="2" max="2" width="22" style="108" customWidth="1"/>
    <col min="3" max="3" width="15.77734375" style="81" customWidth="1"/>
    <col min="4" max="4" width="15.77734375" style="110" customWidth="1"/>
    <col min="5" max="5" width="15.77734375" style="81" customWidth="1"/>
    <col min="6" max="6" width="15.77734375" style="108" customWidth="1"/>
    <col min="7" max="7" width="15.77734375" style="144" customWidth="1"/>
    <col min="8" max="8" width="15.77734375" style="105" customWidth="1"/>
    <col min="9" max="9" width="15.77734375" style="81" customWidth="1"/>
    <col min="10" max="10" width="15.77734375" style="108" customWidth="1"/>
    <col min="11" max="11" width="8.77734375" style="81" customWidth="1"/>
    <col min="12" max="15" width="11" style="81" customWidth="1"/>
    <col min="16" max="16" width="11.77734375" style="81" customWidth="1"/>
    <col min="17" max="1024" width="7.6640625" style="81"/>
  </cols>
  <sheetData>
    <row r="1" spans="1:22" ht="15.6" customHeight="1">
      <c r="A1" s="299"/>
      <c r="B1" s="300" t="s">
        <v>976</v>
      </c>
      <c r="C1" s="145"/>
      <c r="D1" s="146"/>
      <c r="E1" s="299"/>
      <c r="F1" s="299"/>
      <c r="G1" s="147"/>
      <c r="H1" s="299"/>
      <c r="I1" s="299"/>
      <c r="J1" s="299"/>
      <c r="K1" s="299"/>
    </row>
    <row r="2" spans="1:22" ht="15.6" customHeight="1">
      <c r="A2" s="299"/>
      <c r="B2" s="103"/>
      <c r="C2" s="145"/>
      <c r="D2" s="146"/>
      <c r="E2" s="299"/>
      <c r="F2" s="299"/>
      <c r="G2" s="147"/>
      <c r="H2" s="299"/>
      <c r="I2" s="299"/>
      <c r="J2" s="299"/>
      <c r="K2" s="299"/>
    </row>
    <row r="3" spans="1:22" ht="15.6" customHeight="1">
      <c r="A3" s="299"/>
      <c r="B3" s="301" t="s">
        <v>527</v>
      </c>
      <c r="C3" s="145"/>
      <c r="D3" s="146"/>
      <c r="E3" s="299"/>
      <c r="F3" s="299"/>
      <c r="G3" s="147"/>
      <c r="H3" s="299"/>
      <c r="I3" s="299"/>
      <c r="J3" s="299"/>
      <c r="K3" s="299"/>
    </row>
    <row r="4" spans="1:22" ht="15.6" customHeight="1">
      <c r="A4" s="299"/>
      <c r="B4" s="302" t="s">
        <v>977</v>
      </c>
      <c r="C4" s="145"/>
      <c r="D4" s="146"/>
      <c r="E4" s="299"/>
      <c r="F4" s="299"/>
      <c r="G4" s="147"/>
      <c r="H4" s="299"/>
      <c r="I4" s="299"/>
      <c r="J4" s="299"/>
      <c r="K4" s="299"/>
    </row>
    <row r="5" spans="1:22" ht="15.6" customHeight="1">
      <c r="A5" s="299"/>
      <c r="B5" s="302" t="s">
        <v>978</v>
      </c>
      <c r="C5" s="145"/>
      <c r="D5" s="146"/>
      <c r="E5" s="299"/>
      <c r="F5" s="299"/>
      <c r="G5" s="147"/>
      <c r="H5" s="299"/>
      <c r="I5" s="299"/>
      <c r="J5" s="299"/>
      <c r="K5" s="299"/>
    </row>
    <row r="6" spans="1:22" ht="15.6" customHeight="1">
      <c r="A6" s="299"/>
      <c r="B6" s="150" t="s">
        <v>979</v>
      </c>
      <c r="C6" s="148"/>
      <c r="D6" s="303"/>
      <c r="E6" s="304"/>
      <c r="F6" s="304"/>
      <c r="G6" s="149"/>
      <c r="H6" s="304"/>
      <c r="I6" s="304"/>
      <c r="J6" s="299"/>
      <c r="K6" s="299"/>
    </row>
    <row r="7" spans="1:22" ht="15.6" customHeight="1">
      <c r="A7" s="299"/>
      <c r="B7" s="151" t="s">
        <v>980</v>
      </c>
      <c r="C7" s="148"/>
      <c r="D7" s="303"/>
      <c r="E7" s="304"/>
      <c r="F7" s="304"/>
      <c r="G7" s="149"/>
      <c r="H7" s="304"/>
      <c r="I7" s="304"/>
      <c r="J7" s="299"/>
      <c r="K7" s="299"/>
    </row>
    <row r="8" spans="1:22" ht="15.6" customHeight="1">
      <c r="A8" s="299"/>
      <c r="B8" s="151"/>
      <c r="C8" s="148"/>
      <c r="D8" s="303"/>
      <c r="E8" s="304"/>
      <c r="F8" s="304"/>
      <c r="G8" s="149"/>
      <c r="H8" s="304"/>
      <c r="I8" s="304"/>
      <c r="J8" s="299"/>
      <c r="K8" s="299"/>
    </row>
    <row r="9" spans="1:22" ht="15.6" customHeight="1">
      <c r="A9" s="299"/>
      <c r="B9" s="91" t="s">
        <v>424</v>
      </c>
      <c r="C9" s="91" t="s">
        <v>425</v>
      </c>
      <c r="D9" s="91" t="s">
        <v>426</v>
      </c>
      <c r="E9" s="91" t="s">
        <v>427</v>
      </c>
      <c r="F9" s="91" t="s">
        <v>428</v>
      </c>
      <c r="G9" s="91" t="s">
        <v>429</v>
      </c>
      <c r="H9" s="91" t="s">
        <v>430</v>
      </c>
      <c r="I9" s="91" t="s">
        <v>431</v>
      </c>
      <c r="K9" s="146"/>
      <c r="P9" s="110"/>
      <c r="Q9" s="110"/>
      <c r="R9" s="110"/>
    </row>
    <row r="10" spans="1:22" ht="15.6" customHeight="1">
      <c r="A10" s="299"/>
      <c r="B10" s="92" t="s">
        <v>432</v>
      </c>
      <c r="C10" s="92" t="s">
        <v>433</v>
      </c>
      <c r="D10" s="92" t="s">
        <v>434</v>
      </c>
      <c r="E10" s="92" t="s">
        <v>435</v>
      </c>
      <c r="F10" s="92" t="s">
        <v>436</v>
      </c>
      <c r="G10" s="92" t="s">
        <v>437</v>
      </c>
      <c r="H10" s="92" t="s">
        <v>438</v>
      </c>
      <c r="I10" s="92" t="s">
        <v>439</v>
      </c>
      <c r="K10" s="305"/>
      <c r="P10" s="306"/>
      <c r="Q10" s="306"/>
      <c r="R10" s="306"/>
    </row>
    <row r="11" spans="1:22" ht="15.6" customHeight="1">
      <c r="A11" s="299"/>
      <c r="B11" s="92" t="s">
        <v>440</v>
      </c>
      <c r="C11" s="92" t="s">
        <v>441</v>
      </c>
      <c r="D11" s="92" t="s">
        <v>442</v>
      </c>
      <c r="E11" s="92" t="s">
        <v>443</v>
      </c>
      <c r="F11" s="92" t="s">
        <v>444</v>
      </c>
      <c r="G11" s="92" t="s">
        <v>445</v>
      </c>
      <c r="H11" s="92" t="s">
        <v>446</v>
      </c>
      <c r="I11" s="92" t="s">
        <v>447</v>
      </c>
      <c r="K11" s="305"/>
      <c r="P11" s="306"/>
      <c r="Q11" s="306"/>
      <c r="R11" s="306"/>
    </row>
    <row r="12" spans="1:22" ht="15.6" customHeight="1">
      <c r="A12" s="299"/>
      <c r="B12" s="93" t="s">
        <v>448</v>
      </c>
      <c r="C12" s="93" t="s">
        <v>449</v>
      </c>
      <c r="D12" s="93" t="s">
        <v>450</v>
      </c>
      <c r="E12" s="93" t="s">
        <v>451</v>
      </c>
      <c r="F12" s="93" t="s">
        <v>452</v>
      </c>
      <c r="G12" s="93" t="s">
        <v>453</v>
      </c>
      <c r="H12" s="93" t="s">
        <v>454</v>
      </c>
      <c r="I12" s="93" t="s">
        <v>455</v>
      </c>
      <c r="K12" s="305"/>
      <c r="P12" s="306"/>
      <c r="Q12" s="306"/>
      <c r="R12" s="306"/>
    </row>
    <row r="13" spans="1:22" ht="15.6" customHeight="1">
      <c r="A13" s="299"/>
      <c r="B13" s="94" t="s">
        <v>257</v>
      </c>
      <c r="C13" s="95" t="s">
        <v>251</v>
      </c>
      <c r="D13" s="95" t="s">
        <v>245</v>
      </c>
      <c r="E13" s="95" t="s">
        <v>239</v>
      </c>
      <c r="F13" s="95" t="s">
        <v>233</v>
      </c>
      <c r="G13" s="95" t="s">
        <v>227</v>
      </c>
      <c r="H13" s="95" t="s">
        <v>221</v>
      </c>
      <c r="I13" s="96" t="s">
        <v>215</v>
      </c>
      <c r="K13" s="299"/>
    </row>
    <row r="14" spans="1:22" ht="15.6" customHeight="1">
      <c r="A14" s="299"/>
      <c r="B14" s="97" t="s">
        <v>263</v>
      </c>
      <c r="C14" s="98" t="s">
        <v>269</v>
      </c>
      <c r="D14" s="98" t="s">
        <v>275</v>
      </c>
      <c r="E14" s="98" t="s">
        <v>281</v>
      </c>
      <c r="F14" s="98" t="s">
        <v>300</v>
      </c>
      <c r="G14" s="98" t="s">
        <v>287</v>
      </c>
      <c r="H14" s="98" t="s">
        <v>305</v>
      </c>
      <c r="I14" s="99" t="s">
        <v>294</v>
      </c>
      <c r="K14" s="299"/>
    </row>
    <row r="15" spans="1:22" ht="15.6" customHeight="1">
      <c r="A15" s="299"/>
      <c r="B15" s="97" t="s">
        <v>314</v>
      </c>
      <c r="C15" s="98" t="s">
        <v>368</v>
      </c>
      <c r="D15" s="98" t="s">
        <v>362</v>
      </c>
      <c r="E15" s="98" t="s">
        <v>408</v>
      </c>
      <c r="F15" s="98" t="s">
        <v>330</v>
      </c>
      <c r="G15" s="98" t="s">
        <v>378</v>
      </c>
      <c r="H15" s="98" t="s">
        <v>403</v>
      </c>
      <c r="I15" s="99" t="s">
        <v>310</v>
      </c>
      <c r="K15" s="299"/>
    </row>
    <row r="16" spans="1:22" s="86" customFormat="1" ht="15.6" customHeight="1">
      <c r="A16" s="299"/>
      <c r="B16" s="97" t="s">
        <v>382</v>
      </c>
      <c r="C16" s="98" t="s">
        <v>326</v>
      </c>
      <c r="D16" s="98" t="s">
        <v>350</v>
      </c>
      <c r="E16" s="98" t="s">
        <v>356</v>
      </c>
      <c r="F16" s="98" t="s">
        <v>412</v>
      </c>
      <c r="G16" s="98" t="s">
        <v>340</v>
      </c>
      <c r="H16" s="98" t="s">
        <v>397</v>
      </c>
      <c r="I16" s="99" t="s">
        <v>387</v>
      </c>
      <c r="K16" s="299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</row>
    <row r="17" spans="1:22" s="86" customFormat="1" ht="15.6" customHeight="1">
      <c r="A17" s="299"/>
      <c r="B17" s="307" t="s">
        <v>860</v>
      </c>
      <c r="C17" s="101" t="s">
        <v>421</v>
      </c>
      <c r="D17" s="101" t="s">
        <v>416</v>
      </c>
      <c r="E17" s="101" t="s">
        <v>321</v>
      </c>
      <c r="F17" s="101" t="s">
        <v>345</v>
      </c>
      <c r="G17" s="101" t="s">
        <v>336</v>
      </c>
      <c r="H17" s="101" t="s">
        <v>373</v>
      </c>
      <c r="I17" s="102" t="s">
        <v>391</v>
      </c>
      <c r="K17" s="299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</row>
    <row r="18" spans="1:22" s="86" customFormat="1" ht="15.6" customHeight="1">
      <c r="A18" s="299"/>
      <c r="B18" s="150"/>
      <c r="C18" s="299"/>
      <c r="D18" s="299"/>
      <c r="E18" s="299"/>
      <c r="F18" s="299"/>
      <c r="G18" s="147"/>
      <c r="H18" s="299"/>
      <c r="I18" s="308"/>
      <c r="J18" s="299"/>
      <c r="K18" s="299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</row>
    <row r="19" spans="1:22" s="86" customFormat="1" ht="15.6" customHeight="1">
      <c r="A19" s="81"/>
      <c r="B19" s="309" t="s">
        <v>528</v>
      </c>
      <c r="C19" s="90"/>
      <c r="D19" s="164"/>
      <c r="E19" s="90"/>
      <c r="F19" s="310"/>
      <c r="G19" s="165"/>
      <c r="H19" s="105"/>
      <c r="I19" s="81"/>
      <c r="J19" s="108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</row>
    <row r="20" spans="1:22" s="86" customFormat="1" ht="15.6" customHeight="1">
      <c r="A20" s="81"/>
      <c r="B20" s="309" t="s">
        <v>981</v>
      </c>
      <c r="C20" s="90"/>
      <c r="D20" s="164"/>
      <c r="E20" s="90"/>
      <c r="F20" s="310"/>
      <c r="G20" s="165"/>
      <c r="H20" s="105"/>
      <c r="I20" s="81"/>
      <c r="J20" s="108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</row>
    <row r="21" spans="1:22" ht="15.6" customHeight="1">
      <c r="B21" s="309" t="s">
        <v>982</v>
      </c>
      <c r="C21" s="90"/>
      <c r="D21" s="164"/>
      <c r="E21" s="90"/>
      <c r="F21" s="310"/>
      <c r="G21" s="165"/>
    </row>
    <row r="22" spans="1:22" ht="15.6" customHeight="1"/>
    <row r="23" spans="1:22" ht="15.6" customHeight="1">
      <c r="B23" s="302" t="s">
        <v>983</v>
      </c>
      <c r="D23" s="306"/>
    </row>
    <row r="24" spans="1:22" ht="15.6" customHeight="1">
      <c r="C24" s="306"/>
      <c r="D24" s="306"/>
      <c r="L24" s="306"/>
      <c r="M24" s="306"/>
      <c r="N24" s="306"/>
      <c r="O24" s="306"/>
    </row>
    <row r="25" spans="1:22" ht="15.6" customHeight="1">
      <c r="B25" s="311" t="str">
        <f>女子賽程!S8</f>
        <v>ST</v>
      </c>
      <c r="C25" s="312" t="s">
        <v>70</v>
      </c>
      <c r="D25" s="306"/>
      <c r="L25" s="306"/>
      <c r="M25" s="306"/>
      <c r="N25" s="306"/>
      <c r="O25" s="306"/>
    </row>
    <row r="26" spans="1:22" ht="15.6" customHeight="1">
      <c r="C26" s="166" t="s">
        <v>984</v>
      </c>
      <c r="D26" s="134"/>
      <c r="L26" s="306"/>
      <c r="M26" s="306"/>
      <c r="N26" s="306"/>
      <c r="O26" s="306"/>
    </row>
    <row r="27" spans="1:22" ht="15.6" customHeight="1">
      <c r="B27" s="313"/>
      <c r="C27" s="167" t="s">
        <v>985</v>
      </c>
      <c r="D27" s="179" t="str">
        <f>B25</f>
        <v>ST</v>
      </c>
      <c r="E27" s="132"/>
      <c r="F27" s="129"/>
      <c r="G27" s="314"/>
      <c r="H27" s="129"/>
      <c r="I27" s="133"/>
      <c r="L27" s="171"/>
      <c r="M27" s="306"/>
      <c r="N27" s="306"/>
      <c r="O27" s="306"/>
    </row>
    <row r="28" spans="1:22" ht="15.6" customHeight="1">
      <c r="B28" s="315" t="s">
        <v>776</v>
      </c>
      <c r="C28" s="316"/>
      <c r="D28" s="166"/>
      <c r="E28" s="172"/>
      <c r="F28" s="317"/>
      <c r="G28" s="314"/>
      <c r="H28" s="129"/>
      <c r="I28" s="133"/>
      <c r="L28" s="306"/>
      <c r="M28" s="173"/>
      <c r="N28" s="173"/>
      <c r="O28" s="318"/>
    </row>
    <row r="29" spans="1:22" ht="15.6" customHeight="1">
      <c r="B29" s="313"/>
      <c r="D29" s="166" t="s">
        <v>986</v>
      </c>
      <c r="E29" s="319"/>
      <c r="F29" s="81"/>
      <c r="G29" s="314"/>
      <c r="H29" s="129"/>
      <c r="I29" s="133"/>
      <c r="L29" s="306"/>
      <c r="M29" s="173"/>
      <c r="N29" s="173"/>
      <c r="O29" s="318"/>
    </row>
    <row r="30" spans="1:22" ht="15.6" customHeight="1">
      <c r="B30" s="109"/>
      <c r="D30" s="167" t="s">
        <v>987</v>
      </c>
      <c r="E30" s="318"/>
      <c r="F30" s="410" t="str">
        <f>D27</f>
        <v>ST</v>
      </c>
      <c r="G30" s="314"/>
      <c r="H30" s="129"/>
      <c r="I30" s="133"/>
      <c r="L30" s="306"/>
      <c r="M30" s="171"/>
      <c r="N30" s="318"/>
      <c r="O30" s="318"/>
    </row>
    <row r="31" spans="1:22" ht="15.6" customHeight="1">
      <c r="B31" s="311">
        <v>1442</v>
      </c>
      <c r="C31" s="312"/>
      <c r="D31" s="185"/>
      <c r="E31" s="173"/>
      <c r="F31" s="120"/>
      <c r="G31" s="320"/>
      <c r="H31" s="129"/>
      <c r="I31" s="133"/>
      <c r="L31" s="306"/>
      <c r="M31" s="171"/>
      <c r="N31" s="318"/>
      <c r="O31" s="318"/>
    </row>
    <row r="32" spans="1:22" ht="15.6" customHeight="1">
      <c r="B32" s="137"/>
      <c r="C32" s="166" t="s">
        <v>988</v>
      </c>
      <c r="D32" s="321">
        <f>B31</f>
        <v>1442</v>
      </c>
      <c r="E32" s="176"/>
      <c r="F32" s="120"/>
      <c r="G32" s="320"/>
      <c r="H32" s="129"/>
      <c r="I32" s="133"/>
      <c r="L32" s="306"/>
      <c r="M32" s="173"/>
      <c r="N32" s="173"/>
      <c r="O32" s="318"/>
    </row>
    <row r="33" spans="2:15" ht="15.6" customHeight="1">
      <c r="C33" s="167" t="s">
        <v>989</v>
      </c>
      <c r="D33" s="132"/>
      <c r="E33" s="173"/>
      <c r="F33" s="120"/>
      <c r="G33" s="320"/>
      <c r="H33" s="129"/>
      <c r="I33" s="133"/>
      <c r="L33" s="171"/>
      <c r="M33" s="173"/>
      <c r="N33" s="176"/>
      <c r="O33" s="318"/>
    </row>
    <row r="34" spans="2:15" ht="15.6" customHeight="1">
      <c r="B34" s="315" t="str">
        <f>女子賽程!Z26</f>
        <v>葵青-啫喱冰冰</v>
      </c>
      <c r="C34" s="322" t="s">
        <v>112</v>
      </c>
      <c r="D34" s="132"/>
      <c r="E34" s="171"/>
      <c r="F34" s="124"/>
      <c r="G34" s="177"/>
      <c r="H34" s="129"/>
      <c r="I34" s="133"/>
      <c r="L34" s="306"/>
      <c r="M34" s="173"/>
      <c r="N34" s="173"/>
      <c r="O34" s="318"/>
    </row>
    <row r="35" spans="2:15" ht="15.6" customHeight="1">
      <c r="D35" s="173"/>
      <c r="E35" s="173"/>
      <c r="F35" s="124" t="s">
        <v>990</v>
      </c>
      <c r="L35" s="306"/>
      <c r="M35" s="173"/>
      <c r="N35" s="171"/>
      <c r="O35" s="171"/>
    </row>
    <row r="36" spans="2:15" ht="15.6" customHeight="1">
      <c r="B36" s="109"/>
      <c r="C36" s="127"/>
      <c r="D36" s="173"/>
      <c r="E36" s="173"/>
      <c r="F36" s="120" t="s">
        <v>1263</v>
      </c>
      <c r="G36" s="323"/>
      <c r="H36" s="168" t="str">
        <f>F30</f>
        <v>ST</v>
      </c>
      <c r="L36" s="306"/>
      <c r="M36" s="173"/>
      <c r="N36" s="173"/>
      <c r="O36" s="318"/>
    </row>
    <row r="37" spans="2:15" ht="15.6" customHeight="1">
      <c r="B37" s="128" t="str">
        <f>女子賽程!S20</f>
        <v>夏日姑姑茶</v>
      </c>
      <c r="C37" s="312" t="s">
        <v>94</v>
      </c>
      <c r="D37" s="171"/>
      <c r="E37" s="318"/>
      <c r="F37" s="120"/>
      <c r="H37" s="107"/>
      <c r="L37" s="306"/>
      <c r="M37" s="173"/>
      <c r="N37" s="173"/>
      <c r="O37" s="318"/>
    </row>
    <row r="38" spans="2:15" ht="15.6" customHeight="1">
      <c r="B38" s="313"/>
      <c r="C38" s="166" t="s">
        <v>991</v>
      </c>
      <c r="D38" s="172"/>
      <c r="E38" s="318"/>
      <c r="F38" s="120"/>
      <c r="H38" s="114"/>
      <c r="L38" s="306"/>
      <c r="M38" s="173"/>
      <c r="N38" s="173"/>
      <c r="O38" s="318"/>
    </row>
    <row r="39" spans="2:15" ht="15.6" customHeight="1">
      <c r="B39" s="313"/>
      <c r="C39" s="142" t="s">
        <v>992</v>
      </c>
      <c r="D39" s="168" t="str">
        <f>B40</f>
        <v>初次出道</v>
      </c>
      <c r="E39" s="173"/>
      <c r="F39" s="120"/>
      <c r="H39" s="114"/>
      <c r="L39" s="306"/>
      <c r="M39" s="171"/>
      <c r="N39" s="318"/>
      <c r="O39" s="318"/>
    </row>
    <row r="40" spans="2:15" ht="15.6" customHeight="1">
      <c r="B40" s="311" t="s">
        <v>736</v>
      </c>
      <c r="C40" s="180"/>
      <c r="D40" s="141"/>
      <c r="E40" s="132"/>
      <c r="F40" s="120"/>
      <c r="H40" s="114"/>
      <c r="I40" s="133"/>
      <c r="L40" s="171"/>
      <c r="M40" s="173"/>
      <c r="N40" s="173"/>
      <c r="O40" s="318"/>
    </row>
    <row r="41" spans="2:15" ht="15.6" customHeight="1">
      <c r="B41" s="313"/>
      <c r="D41" s="166"/>
      <c r="G41" s="320"/>
      <c r="H41" s="120"/>
      <c r="I41" s="133"/>
      <c r="L41" s="306"/>
      <c r="M41" s="173"/>
      <c r="N41" s="173"/>
      <c r="O41" s="318"/>
    </row>
    <row r="42" spans="2:15" ht="15.6" customHeight="1">
      <c r="D42" s="166" t="s">
        <v>993</v>
      </c>
      <c r="E42" s="181"/>
      <c r="F42" s="168" t="str">
        <f>D45</f>
        <v>ALPS-Pillarsports (A)</v>
      </c>
      <c r="G42" s="324"/>
      <c r="H42" s="120"/>
      <c r="I42" s="133"/>
      <c r="L42" s="306"/>
      <c r="M42" s="171"/>
      <c r="N42" s="173"/>
      <c r="O42" s="318"/>
    </row>
    <row r="43" spans="2:15" ht="15.6" customHeight="1">
      <c r="B43" s="313"/>
      <c r="C43" s="325"/>
      <c r="D43" s="174" t="s">
        <v>994</v>
      </c>
      <c r="E43" s="173"/>
      <c r="F43" s="129"/>
      <c r="G43" s="324"/>
      <c r="H43" s="120"/>
      <c r="I43" s="133"/>
      <c r="L43" s="306"/>
      <c r="M43" s="173"/>
      <c r="N43" s="173"/>
      <c r="O43" s="318"/>
    </row>
    <row r="44" spans="2:15" ht="15.6" customHeight="1">
      <c r="B44" s="315" t="s">
        <v>781</v>
      </c>
      <c r="C44" s="326"/>
      <c r="D44" s="185"/>
      <c r="E44" s="173"/>
      <c r="F44" s="129"/>
      <c r="G44" s="324"/>
      <c r="H44" s="120"/>
      <c r="I44" s="133"/>
      <c r="L44" s="306"/>
      <c r="M44" s="173"/>
      <c r="N44" s="173"/>
      <c r="O44" s="318"/>
    </row>
    <row r="45" spans="2:15" ht="15.6" customHeight="1">
      <c r="B45" s="313"/>
      <c r="C45" s="166" t="s">
        <v>995</v>
      </c>
      <c r="D45" s="327" t="str">
        <f>B47</f>
        <v>ALPS-Pillarsports (A)</v>
      </c>
      <c r="E45" s="173"/>
      <c r="F45" s="129"/>
      <c r="G45" s="324"/>
      <c r="H45" s="120"/>
      <c r="I45" s="133"/>
      <c r="L45" s="306"/>
      <c r="M45" s="173"/>
      <c r="N45" s="173"/>
      <c r="O45" s="318"/>
    </row>
    <row r="46" spans="2:15" ht="15.6" customHeight="1">
      <c r="B46" s="313"/>
      <c r="C46" s="167" t="s">
        <v>996</v>
      </c>
      <c r="D46" s="173"/>
      <c r="E46" s="132"/>
      <c r="F46" s="129"/>
      <c r="G46" s="324"/>
      <c r="H46" s="120"/>
      <c r="I46" s="133"/>
      <c r="J46" s="109"/>
      <c r="L46" s="171"/>
      <c r="M46" s="173"/>
      <c r="N46" s="173"/>
      <c r="O46" s="318"/>
    </row>
    <row r="47" spans="2:15" ht="15.6" customHeight="1">
      <c r="B47" s="311" t="str">
        <f>女子賽程!Z14</f>
        <v>ALPS-Pillarsports (A)</v>
      </c>
      <c r="C47" s="322" t="s">
        <v>88</v>
      </c>
      <c r="D47" s="171"/>
      <c r="E47" s="318"/>
      <c r="F47" s="317"/>
      <c r="H47" s="124" t="s">
        <v>997</v>
      </c>
      <c r="I47" s="184"/>
      <c r="J47" s="168" t="str">
        <f>H60</f>
        <v xml:space="preserve">ALPS-稻八 </v>
      </c>
      <c r="K47" s="328"/>
      <c r="L47" s="306"/>
      <c r="M47" s="173"/>
      <c r="N47" s="173"/>
      <c r="O47" s="318"/>
    </row>
    <row r="48" spans="2:15" ht="15.6" customHeight="1">
      <c r="B48" s="313"/>
      <c r="D48" s="173"/>
      <c r="E48" s="173"/>
      <c r="F48" s="317"/>
      <c r="H48" s="185" t="s">
        <v>543</v>
      </c>
      <c r="I48" s="132"/>
      <c r="J48" s="329"/>
      <c r="L48" s="306"/>
      <c r="M48" s="171"/>
      <c r="N48" s="318"/>
      <c r="O48" s="318"/>
    </row>
    <row r="49" spans="2:15" ht="15.6" customHeight="1">
      <c r="B49" s="313"/>
      <c r="C49" s="127"/>
      <c r="D49" s="173"/>
      <c r="E49" s="176"/>
      <c r="F49" s="317"/>
      <c r="G49" s="186"/>
      <c r="H49" s="120" t="s">
        <v>1268</v>
      </c>
      <c r="I49" s="187"/>
      <c r="J49" s="313"/>
      <c r="L49" s="306"/>
      <c r="M49" s="173"/>
      <c r="N49" s="173"/>
      <c r="O49" s="318"/>
    </row>
    <row r="50" spans="2:15" ht="15.6" customHeight="1">
      <c r="B50" s="311" t="str">
        <f>女子賽程!S14</f>
        <v xml:space="preserve">ALPS-稻八 </v>
      </c>
      <c r="C50" s="312" t="s">
        <v>82</v>
      </c>
      <c r="D50" s="306"/>
      <c r="G50" s="324"/>
      <c r="H50" s="120"/>
      <c r="I50" s="133"/>
      <c r="L50" s="306"/>
      <c r="M50" s="173"/>
      <c r="N50" s="176"/>
      <c r="O50" s="318"/>
    </row>
    <row r="51" spans="2:15" ht="15.6" customHeight="1">
      <c r="C51" s="166" t="s">
        <v>998</v>
      </c>
      <c r="D51" s="306"/>
      <c r="G51" s="324"/>
      <c r="H51" s="120"/>
      <c r="I51" s="133"/>
      <c r="L51" s="306"/>
      <c r="M51" s="306"/>
      <c r="N51" s="306"/>
      <c r="O51" s="306"/>
    </row>
    <row r="52" spans="2:15" ht="15.6" customHeight="1">
      <c r="B52" s="313"/>
      <c r="C52" s="167" t="s">
        <v>999</v>
      </c>
      <c r="D52" s="179" t="str">
        <f>B50</f>
        <v xml:space="preserve">ALPS-稻八 </v>
      </c>
      <c r="E52" s="132"/>
      <c r="F52" s="129"/>
      <c r="G52" s="324"/>
      <c r="H52" s="120"/>
      <c r="I52" s="133"/>
      <c r="L52" s="171"/>
      <c r="M52" s="306"/>
      <c r="N52" s="306"/>
      <c r="O52" s="306"/>
    </row>
    <row r="53" spans="2:15" ht="15.6" customHeight="1">
      <c r="B53" s="315" t="s">
        <v>760</v>
      </c>
      <c r="C53" s="316"/>
      <c r="D53" s="185"/>
      <c r="E53" s="188"/>
      <c r="F53" s="317"/>
      <c r="G53" s="324"/>
      <c r="H53" s="120"/>
      <c r="I53" s="133"/>
      <c r="L53" s="306"/>
      <c r="M53" s="173"/>
      <c r="N53" s="173"/>
      <c r="O53" s="318"/>
    </row>
    <row r="54" spans="2:15" ht="15.6" customHeight="1">
      <c r="B54" s="313"/>
      <c r="D54" s="166" t="s">
        <v>1000</v>
      </c>
      <c r="E54" s="318"/>
      <c r="F54" s="410" t="str">
        <f>D52</f>
        <v xml:space="preserve">ALPS-稻八 </v>
      </c>
      <c r="G54" s="324"/>
      <c r="H54" s="120"/>
      <c r="I54" s="133"/>
      <c r="L54" s="306"/>
      <c r="M54" s="173"/>
      <c r="N54" s="173"/>
      <c r="O54" s="318"/>
    </row>
    <row r="55" spans="2:15" ht="15.6" customHeight="1">
      <c r="D55" s="185" t="s">
        <v>1001</v>
      </c>
      <c r="E55" s="318"/>
      <c r="F55" s="120"/>
      <c r="G55" s="324"/>
      <c r="H55" s="120"/>
      <c r="I55" s="133"/>
      <c r="L55" s="306"/>
      <c r="M55" s="171"/>
      <c r="N55" s="318"/>
      <c r="O55" s="318"/>
    </row>
    <row r="56" spans="2:15" ht="15.6" customHeight="1">
      <c r="B56" s="315" t="s">
        <v>1002</v>
      </c>
      <c r="C56" s="312"/>
      <c r="D56" s="189"/>
      <c r="E56" s="173"/>
      <c r="F56" s="120"/>
      <c r="G56" s="190"/>
      <c r="H56" s="185"/>
      <c r="I56" s="133"/>
      <c r="L56" s="306"/>
      <c r="M56" s="171"/>
      <c r="N56" s="318"/>
      <c r="O56" s="318"/>
    </row>
    <row r="57" spans="2:15" ht="15.6" customHeight="1">
      <c r="B57" s="313"/>
      <c r="C57" s="166" t="s">
        <v>1003</v>
      </c>
      <c r="D57" s="183" t="str">
        <f>B59</f>
        <v>ALPS-Pillarsports (B)</v>
      </c>
      <c r="E57" s="176"/>
      <c r="F57" s="120"/>
      <c r="G57" s="169"/>
      <c r="H57" s="120"/>
      <c r="I57" s="133"/>
      <c r="L57" s="306"/>
      <c r="M57" s="173"/>
      <c r="N57" s="173"/>
      <c r="O57" s="318"/>
    </row>
    <row r="58" spans="2:15" ht="15.6" customHeight="1">
      <c r="B58" s="129"/>
      <c r="C58" s="167" t="s">
        <v>1004</v>
      </c>
      <c r="D58" s="132"/>
      <c r="E58" s="173"/>
      <c r="F58" s="120"/>
      <c r="G58" s="169"/>
      <c r="H58" s="120"/>
      <c r="I58" s="133"/>
      <c r="L58" s="171"/>
      <c r="M58" s="173"/>
      <c r="N58" s="176"/>
      <c r="O58" s="318"/>
    </row>
    <row r="59" spans="2:15" ht="15.6" customHeight="1">
      <c r="B59" s="311" t="str">
        <f>女子賽程!Z20</f>
        <v>ALPS-Pillarsports (B)</v>
      </c>
      <c r="C59" s="322" t="s">
        <v>100</v>
      </c>
      <c r="D59" s="132"/>
      <c r="E59" s="171"/>
      <c r="F59" s="124" t="s">
        <v>1005</v>
      </c>
      <c r="H59" s="117"/>
      <c r="I59" s="133"/>
      <c r="L59" s="306"/>
      <c r="M59" s="173"/>
      <c r="N59" s="173"/>
      <c r="O59" s="318"/>
    </row>
    <row r="60" spans="2:15" ht="15.6" customHeight="1">
      <c r="B60" s="129"/>
      <c r="D60" s="173"/>
      <c r="E60" s="173"/>
      <c r="F60" s="330" t="s">
        <v>1266</v>
      </c>
      <c r="G60" s="191"/>
      <c r="H60" s="411" t="str">
        <f>F54</f>
        <v xml:space="preserve">ALPS-稻八 </v>
      </c>
      <c r="I60" s="133"/>
      <c r="K60" s="133"/>
      <c r="L60" s="306"/>
      <c r="M60" s="173"/>
      <c r="N60" s="171"/>
      <c r="O60" s="171"/>
    </row>
    <row r="61" spans="2:15" ht="15.6" customHeight="1">
      <c r="B61" s="313"/>
      <c r="D61" s="173"/>
      <c r="E61" s="173"/>
      <c r="F61" s="120"/>
      <c r="I61" s="133"/>
      <c r="L61" s="306"/>
      <c r="M61" s="173"/>
      <c r="N61" s="173"/>
      <c r="O61" s="318"/>
    </row>
    <row r="62" spans="2:15" ht="15.6" customHeight="1">
      <c r="B62" s="311" t="s">
        <v>692</v>
      </c>
      <c r="C62" s="312"/>
      <c r="D62" s="171"/>
      <c r="E62" s="318"/>
      <c r="F62" s="120"/>
      <c r="I62" s="133"/>
      <c r="K62" s="133"/>
      <c r="L62" s="306"/>
      <c r="M62" s="173"/>
      <c r="N62" s="173"/>
      <c r="O62" s="318"/>
    </row>
    <row r="63" spans="2:15" ht="15.6" customHeight="1">
      <c r="B63" s="313"/>
      <c r="C63" s="166" t="s">
        <v>1006</v>
      </c>
      <c r="D63" s="182"/>
      <c r="E63" s="173"/>
      <c r="F63" s="120"/>
      <c r="G63" s="314"/>
      <c r="K63" s="133"/>
      <c r="L63" s="306"/>
      <c r="M63" s="171"/>
      <c r="N63" s="318"/>
      <c r="O63" s="318"/>
    </row>
    <row r="64" spans="2:15" ht="15.6" customHeight="1">
      <c r="B64" s="129"/>
      <c r="C64" s="167" t="s">
        <v>1007</v>
      </c>
      <c r="D64" s="168" t="str">
        <f>B62</f>
        <v>砂煲罌罉</v>
      </c>
      <c r="E64" s="132"/>
      <c r="F64" s="120"/>
      <c r="J64" s="129"/>
      <c r="K64" s="133"/>
      <c r="L64" s="171"/>
      <c r="M64" s="173"/>
      <c r="N64" s="173"/>
      <c r="O64" s="318"/>
    </row>
    <row r="65" spans="2:15" ht="15.6" customHeight="1">
      <c r="B65" s="315" t="str">
        <f>女子賽程!S26</f>
        <v>SURVIVOR</v>
      </c>
      <c r="C65" s="322" t="s">
        <v>106</v>
      </c>
      <c r="D65" s="166"/>
      <c r="E65" s="181"/>
      <c r="F65" s="168" t="str">
        <f>D69</f>
        <v>L</v>
      </c>
      <c r="H65" s="168" t="str">
        <f>F42</f>
        <v>ALPS-Pillarsports (A)</v>
      </c>
      <c r="I65" s="328"/>
      <c r="J65" s="129"/>
      <c r="L65" s="306"/>
      <c r="M65" s="173"/>
      <c r="N65" s="173"/>
      <c r="O65" s="318"/>
    </row>
    <row r="66" spans="2:15" ht="15.6" customHeight="1">
      <c r="D66" s="166" t="s">
        <v>1008</v>
      </c>
      <c r="E66" s="173"/>
      <c r="F66" s="129"/>
      <c r="H66" s="107"/>
      <c r="J66" s="129"/>
      <c r="K66" s="133"/>
      <c r="L66" s="306"/>
      <c r="M66" s="171"/>
      <c r="N66" s="173"/>
      <c r="O66" s="318"/>
    </row>
    <row r="67" spans="2:15" ht="15.6" customHeight="1">
      <c r="B67" s="109"/>
      <c r="D67" s="167" t="s">
        <v>1009</v>
      </c>
      <c r="E67" s="173"/>
      <c r="F67" s="129"/>
      <c r="H67" s="166" t="s">
        <v>1010</v>
      </c>
      <c r="J67" s="129"/>
      <c r="K67" s="133"/>
      <c r="L67" s="306"/>
      <c r="M67" s="173"/>
      <c r="N67" s="173"/>
      <c r="O67" s="318"/>
    </row>
    <row r="68" spans="2:15" ht="15.6" customHeight="1">
      <c r="B68" s="331" t="s">
        <v>765</v>
      </c>
      <c r="C68" s="312"/>
      <c r="D68" s="185"/>
      <c r="E68" s="173"/>
      <c r="F68" s="129"/>
      <c r="H68" s="114" t="s">
        <v>557</v>
      </c>
      <c r="I68" s="192"/>
      <c r="J68" s="168" t="str">
        <f>H71</f>
        <v>L</v>
      </c>
      <c r="K68" s="328"/>
      <c r="L68" s="306"/>
      <c r="M68" s="173"/>
      <c r="N68" s="173"/>
      <c r="O68" s="318"/>
    </row>
    <row r="69" spans="2:15" ht="15.6" customHeight="1">
      <c r="B69" s="137"/>
      <c r="C69" s="166" t="s">
        <v>1011</v>
      </c>
      <c r="D69" s="179" t="str">
        <f>B71</f>
        <v>L</v>
      </c>
      <c r="E69" s="173"/>
      <c r="F69" s="129"/>
      <c r="H69" s="114" t="s">
        <v>532</v>
      </c>
      <c r="J69" s="129"/>
      <c r="L69" s="306"/>
      <c r="M69" s="173"/>
      <c r="N69" s="173"/>
      <c r="O69" s="318"/>
    </row>
    <row r="70" spans="2:15" ht="15.6" customHeight="1">
      <c r="C70" s="167" t="s">
        <v>1012</v>
      </c>
      <c r="D70" s="173"/>
      <c r="E70" s="132"/>
      <c r="F70" s="129"/>
      <c r="H70" s="114"/>
      <c r="J70" s="129"/>
      <c r="L70" s="171"/>
      <c r="M70" s="173"/>
      <c r="N70" s="173"/>
      <c r="O70" s="318"/>
    </row>
    <row r="71" spans="2:15" ht="15.6" customHeight="1">
      <c r="B71" s="311" t="str">
        <f>女子賽程!Z8</f>
        <v>L</v>
      </c>
      <c r="C71" s="322" t="s">
        <v>76</v>
      </c>
      <c r="D71" s="171"/>
      <c r="E71" s="318"/>
      <c r="F71" s="317"/>
      <c r="G71" s="332"/>
      <c r="H71" s="410" t="str">
        <f>F65</f>
        <v>L</v>
      </c>
      <c r="L71" s="306"/>
      <c r="M71" s="173"/>
      <c r="N71" s="173"/>
      <c r="O71" s="318"/>
    </row>
    <row r="72" spans="2:15" ht="15.6" customHeight="1">
      <c r="B72" s="313"/>
      <c r="K72" s="110"/>
      <c r="L72" s="306"/>
      <c r="M72" s="171"/>
      <c r="N72" s="133"/>
      <c r="O72" s="318"/>
    </row>
    <row r="73" spans="2:15" ht="15.6" customHeight="1">
      <c r="B73" s="313"/>
      <c r="G73" s="195"/>
      <c r="L73" s="306"/>
      <c r="M73" s="173"/>
      <c r="N73" s="333"/>
      <c r="O73" s="306"/>
    </row>
    <row r="74" spans="2:15" ht="15.6" customHeight="1">
      <c r="B74" s="313"/>
      <c r="C74" s="193"/>
      <c r="D74" s="105"/>
      <c r="E74" s="105"/>
      <c r="G74" s="195"/>
      <c r="L74" s="306"/>
      <c r="M74" s="306"/>
      <c r="N74" s="306"/>
      <c r="O74" s="306"/>
    </row>
    <row r="75" spans="2:15" ht="15.6" customHeight="1">
      <c r="B75" s="313"/>
      <c r="C75" s="193"/>
      <c r="D75" s="105"/>
      <c r="E75" s="105"/>
      <c r="G75" s="195"/>
      <c r="L75" s="306"/>
      <c r="M75" s="306"/>
    </row>
    <row r="76" spans="2:15" ht="15.6" customHeight="1">
      <c r="B76" s="315" t="str">
        <f>女子賽程!S9</f>
        <v>ALPS-冰紅茶</v>
      </c>
      <c r="C76" s="131" t="s">
        <v>160</v>
      </c>
      <c r="D76" s="105"/>
      <c r="E76" s="193" t="s">
        <v>560</v>
      </c>
      <c r="F76" s="105" t="s">
        <v>561</v>
      </c>
      <c r="G76" s="195"/>
      <c r="L76" s="306"/>
      <c r="M76" s="306"/>
    </row>
    <row r="77" spans="2:15" ht="15.6" customHeight="1">
      <c r="B77" s="315" t="str">
        <f>女子賽程!Z9</f>
        <v>初次出道</v>
      </c>
      <c r="C77" s="131" t="s">
        <v>154</v>
      </c>
      <c r="D77" s="105"/>
      <c r="E77" s="193" t="s">
        <v>562</v>
      </c>
      <c r="F77" s="105" t="s">
        <v>563</v>
      </c>
      <c r="G77" s="195"/>
      <c r="L77" s="306"/>
      <c r="M77" s="306"/>
    </row>
    <row r="78" spans="2:15" ht="15.6" customHeight="1">
      <c r="B78" s="315">
        <f>女子賽程!S15</f>
        <v>1442</v>
      </c>
      <c r="C78" s="131" t="s">
        <v>148</v>
      </c>
      <c r="D78" s="105"/>
      <c r="E78" s="193" t="s">
        <v>565</v>
      </c>
      <c r="F78" s="105" t="s">
        <v>566</v>
      </c>
      <c r="G78" s="195"/>
      <c r="L78" s="306"/>
      <c r="M78" s="306"/>
    </row>
    <row r="79" spans="2:15" ht="15.6" customHeight="1">
      <c r="B79" s="315" t="str">
        <f>女子賽程!Z15</f>
        <v>PUIPUI</v>
      </c>
      <c r="C79" s="131" t="s">
        <v>142</v>
      </c>
      <c r="D79" s="105"/>
      <c r="E79" s="193" t="s">
        <v>567</v>
      </c>
      <c r="F79" s="105" t="s">
        <v>568</v>
      </c>
      <c r="G79" s="195"/>
      <c r="L79" s="306"/>
      <c r="M79" s="306"/>
    </row>
    <row r="80" spans="2:15" ht="15.6" customHeight="1">
      <c r="B80" s="315" t="str">
        <f>女子賽程!S21</f>
        <v>RUNA</v>
      </c>
      <c r="C80" s="131" t="s">
        <v>136</v>
      </c>
      <c r="D80" s="105"/>
      <c r="E80" s="193" t="s">
        <v>569</v>
      </c>
      <c r="F80" s="105" t="s">
        <v>570</v>
      </c>
      <c r="G80" s="195"/>
      <c r="L80" s="306"/>
      <c r="M80" s="306"/>
    </row>
    <row r="81" spans="2:13" ht="15.6" customHeight="1">
      <c r="B81" s="315" t="str">
        <f>女子賽程!Z21</f>
        <v>砂煲罌罉</v>
      </c>
      <c r="C81" s="131" t="s">
        <v>130</v>
      </c>
      <c r="D81" s="105"/>
      <c r="E81" s="193" t="s">
        <v>571</v>
      </c>
      <c r="F81" s="105" t="s">
        <v>572</v>
      </c>
      <c r="L81" s="306"/>
      <c r="M81" s="306"/>
    </row>
    <row r="82" spans="2:13" ht="15.6" customHeight="1">
      <c r="B82" s="315" t="str">
        <f>女子賽程!S27</f>
        <v>估里吾島</v>
      </c>
      <c r="C82" s="131" t="s">
        <v>124</v>
      </c>
      <c r="D82" s="105"/>
      <c r="E82" s="193" t="s">
        <v>575</v>
      </c>
      <c r="F82" s="105" t="s">
        <v>576</v>
      </c>
      <c r="G82" s="195"/>
      <c r="L82" s="306"/>
      <c r="M82" s="306"/>
    </row>
    <row r="83" spans="2:13" ht="15.6" customHeight="1">
      <c r="B83" s="315" t="str">
        <f>女子賽程!Z27</f>
        <v>淺水灣三寶</v>
      </c>
      <c r="C83" s="131" t="s">
        <v>118</v>
      </c>
      <c r="D83" s="105"/>
      <c r="E83" s="193" t="s">
        <v>579</v>
      </c>
      <c r="F83" s="105" t="s">
        <v>580</v>
      </c>
      <c r="L83" s="306"/>
      <c r="M83" s="306"/>
    </row>
    <row r="84" spans="2:13" ht="15.6" customHeight="1">
      <c r="B84" s="313"/>
      <c r="C84" s="171"/>
      <c r="D84" s="105"/>
      <c r="E84" s="193" t="s">
        <v>582</v>
      </c>
      <c r="F84" s="108" t="s">
        <v>583</v>
      </c>
      <c r="L84" s="306"/>
      <c r="M84" s="306"/>
    </row>
    <row r="85" spans="2:13" ht="15.6" customHeight="1">
      <c r="B85" s="313"/>
      <c r="C85" s="171"/>
      <c r="D85" s="105"/>
      <c r="E85" s="193"/>
      <c r="F85" s="105"/>
      <c r="L85" s="306"/>
      <c r="M85" s="306"/>
    </row>
    <row r="86" spans="2:13" ht="15.6" customHeight="1">
      <c r="B86" s="313"/>
      <c r="C86" s="171"/>
      <c r="D86" s="105"/>
      <c r="E86" s="193"/>
      <c r="F86" s="105"/>
      <c r="L86" s="306"/>
      <c r="M86" s="306"/>
    </row>
    <row r="87" spans="2:13" ht="15.6" customHeight="1">
      <c r="B87" s="313"/>
      <c r="C87" s="171"/>
      <c r="D87" s="105"/>
      <c r="E87" s="193"/>
      <c r="F87" s="105"/>
      <c r="L87" s="306"/>
      <c r="M87" s="306"/>
    </row>
    <row r="88" spans="2:13" ht="15.6" customHeight="1">
      <c r="B88" s="313"/>
      <c r="C88" s="171"/>
      <c r="D88" s="105"/>
      <c r="E88" s="193"/>
      <c r="F88" s="105"/>
      <c r="G88" s="195"/>
      <c r="L88" s="306"/>
      <c r="M88" s="306"/>
    </row>
    <row r="89" spans="2:13" ht="15.6" customHeight="1">
      <c r="B89" s="313"/>
      <c r="C89" s="334"/>
      <c r="D89" s="105"/>
      <c r="G89" s="195"/>
      <c r="L89" s="306"/>
      <c r="M89" s="306"/>
    </row>
    <row r="90" spans="2:13" ht="15.6" customHeight="1">
      <c r="B90" s="313"/>
      <c r="C90" s="334"/>
      <c r="D90" s="105"/>
      <c r="G90" s="195"/>
      <c r="L90" s="306"/>
      <c r="M90" s="306"/>
    </row>
    <row r="91" spans="2:13" ht="15.6" customHeight="1">
      <c r="B91" s="313"/>
      <c r="C91" s="334"/>
      <c r="D91" s="105"/>
      <c r="G91" s="195"/>
      <c r="L91" s="306"/>
      <c r="M91" s="306"/>
    </row>
    <row r="92" spans="2:13" ht="15.6" customHeight="1">
      <c r="B92" s="313"/>
      <c r="C92" s="334"/>
      <c r="D92" s="194"/>
      <c r="G92" s="195"/>
      <c r="H92" s="193"/>
      <c r="I92" s="105"/>
      <c r="J92" s="105"/>
      <c r="K92" s="105"/>
      <c r="L92" s="306"/>
      <c r="M92" s="306"/>
    </row>
    <row r="93" spans="2:13" ht="15.6" customHeight="1">
      <c r="B93" s="313"/>
      <c r="C93" s="171"/>
      <c r="D93" s="173"/>
      <c r="H93" s="193"/>
      <c r="I93" s="105"/>
      <c r="J93" s="105"/>
      <c r="K93" s="105"/>
      <c r="L93" s="306"/>
      <c r="M93" s="306"/>
    </row>
    <row r="94" spans="2:13" ht="15.6" customHeight="1">
      <c r="B94" s="313"/>
      <c r="C94" s="187"/>
      <c r="D94" s="173"/>
      <c r="H94" s="193"/>
      <c r="I94" s="105"/>
      <c r="J94" s="105"/>
      <c r="K94" s="105"/>
      <c r="L94" s="306"/>
      <c r="M94" s="306"/>
    </row>
    <row r="95" spans="2:13" ht="15.6" customHeight="1">
      <c r="B95" s="313"/>
      <c r="C95" s="334"/>
      <c r="D95" s="173"/>
      <c r="H95" s="193"/>
      <c r="I95" s="105"/>
      <c r="J95" s="105"/>
      <c r="K95" s="105"/>
      <c r="L95" s="306"/>
      <c r="M95" s="306"/>
    </row>
    <row r="96" spans="2:13" ht="15.6" customHeight="1">
      <c r="B96" s="313"/>
      <c r="C96" s="334"/>
      <c r="D96" s="173"/>
      <c r="H96" s="193"/>
      <c r="I96" s="105"/>
      <c r="J96" s="105"/>
      <c r="K96" s="105"/>
      <c r="L96" s="306"/>
      <c r="M96" s="306"/>
    </row>
    <row r="97" spans="2:13" ht="15.6" customHeight="1">
      <c r="B97" s="313"/>
      <c r="C97" s="334"/>
      <c r="D97" s="173"/>
      <c r="H97" s="193"/>
      <c r="I97" s="105"/>
      <c r="J97" s="105"/>
      <c r="K97" s="105"/>
      <c r="L97" s="306"/>
      <c r="M97" s="306"/>
    </row>
    <row r="98" spans="2:13" ht="15.6" customHeight="1">
      <c r="B98" s="313"/>
      <c r="C98" s="334"/>
      <c r="D98" s="173"/>
      <c r="H98" s="193"/>
      <c r="I98" s="105"/>
      <c r="J98" s="105"/>
      <c r="K98" s="105"/>
      <c r="L98" s="306"/>
      <c r="M98" s="306"/>
    </row>
    <row r="99" spans="2:13" ht="18">
      <c r="B99" s="313"/>
      <c r="C99" s="171"/>
      <c r="D99" s="194"/>
      <c r="G99" s="195"/>
      <c r="H99" s="193"/>
      <c r="I99" s="105"/>
      <c r="J99" s="105"/>
      <c r="K99" s="105"/>
      <c r="L99" s="306"/>
      <c r="M99" s="306"/>
    </row>
    <row r="100" spans="2:13" ht="18">
      <c r="B100" s="313"/>
      <c r="C100" s="187"/>
      <c r="D100" s="104"/>
      <c r="H100" s="193"/>
      <c r="I100" s="105"/>
      <c r="J100" s="105"/>
      <c r="K100" s="105"/>
      <c r="L100" s="306"/>
      <c r="M100" s="306"/>
    </row>
    <row r="101" spans="2:13" ht="18">
      <c r="B101" s="313"/>
      <c r="C101" s="334"/>
      <c r="D101" s="171"/>
      <c r="I101" s="105"/>
      <c r="J101" s="105"/>
      <c r="K101" s="105"/>
      <c r="L101" s="306"/>
      <c r="M101" s="306"/>
    </row>
    <row r="102" spans="2:13" ht="18">
      <c r="B102" s="317"/>
      <c r="C102" s="334"/>
      <c r="D102" s="171"/>
      <c r="L102" s="306"/>
      <c r="M102" s="306"/>
    </row>
    <row r="103" spans="2:13" ht="18">
      <c r="B103" s="313"/>
      <c r="C103" s="334"/>
      <c r="D103" s="187"/>
      <c r="H103" s="193"/>
      <c r="I103" s="105"/>
      <c r="J103" s="105"/>
      <c r="K103" s="105"/>
      <c r="L103" s="306"/>
      <c r="M103" s="306"/>
    </row>
    <row r="104" spans="2:13" ht="18">
      <c r="B104" s="313"/>
      <c r="C104" s="334"/>
      <c r="D104" s="173"/>
      <c r="H104" s="193"/>
      <c r="I104" s="105"/>
      <c r="J104" s="105"/>
      <c r="K104" s="105"/>
      <c r="L104" s="306"/>
      <c r="M104" s="306"/>
    </row>
    <row r="105" spans="2:13" ht="18">
      <c r="B105" s="317"/>
      <c r="C105" s="171"/>
      <c r="D105" s="176"/>
      <c r="E105" s="173"/>
      <c r="F105" s="317"/>
      <c r="I105" s="105"/>
      <c r="J105" s="105"/>
      <c r="K105" s="105"/>
      <c r="L105" s="306"/>
      <c r="M105" s="306"/>
    </row>
    <row r="106" spans="2:13" ht="18">
      <c r="B106" s="317"/>
      <c r="C106" s="187"/>
      <c r="D106" s="194"/>
      <c r="E106" s="173"/>
      <c r="F106" s="333"/>
      <c r="G106" s="195"/>
      <c r="I106" s="105"/>
      <c r="J106" s="105"/>
      <c r="K106" s="105"/>
      <c r="L106" s="306"/>
      <c r="M106" s="306"/>
    </row>
    <row r="107" spans="2:13" ht="18">
      <c r="B107" s="313"/>
      <c r="C107" s="334"/>
      <c r="D107" s="171"/>
      <c r="G107" s="195"/>
      <c r="I107" s="105"/>
      <c r="J107" s="105"/>
      <c r="K107" s="105"/>
      <c r="L107" s="306"/>
      <c r="M107" s="306"/>
    </row>
    <row r="108" spans="2:13" ht="18">
      <c r="B108" s="317"/>
      <c r="C108" s="334"/>
      <c r="D108" s="173"/>
      <c r="L108" s="306"/>
      <c r="M108" s="306"/>
    </row>
    <row r="109" spans="2:13" ht="18">
      <c r="B109" s="317"/>
      <c r="C109" s="334"/>
      <c r="D109" s="173"/>
      <c r="G109" s="195"/>
      <c r="I109" s="105"/>
      <c r="J109" s="105"/>
      <c r="K109" s="105"/>
      <c r="L109" s="306"/>
      <c r="M109" s="306"/>
    </row>
    <row r="110" spans="2:13" ht="18">
      <c r="B110" s="313"/>
      <c r="C110" s="334"/>
      <c r="D110" s="306"/>
      <c r="E110" s="306"/>
      <c r="F110" s="313"/>
      <c r="I110" s="105"/>
      <c r="J110" s="105"/>
      <c r="K110" s="105"/>
      <c r="L110" s="306"/>
      <c r="M110" s="306"/>
    </row>
    <row r="111" spans="2:13" ht="18">
      <c r="B111" s="313"/>
      <c r="C111" s="171"/>
      <c r="D111" s="196"/>
      <c r="E111" s="193" t="s">
        <v>582</v>
      </c>
      <c r="F111" s="108" t="s">
        <v>584</v>
      </c>
      <c r="I111" s="105"/>
      <c r="J111" s="105"/>
      <c r="K111" s="105"/>
      <c r="L111" s="306"/>
      <c r="M111" s="306"/>
    </row>
    <row r="112" spans="2:13" ht="18">
      <c r="B112" s="313"/>
      <c r="C112" s="187"/>
      <c r="D112" s="176"/>
      <c r="E112" s="173"/>
      <c r="I112" s="105"/>
      <c r="J112" s="105"/>
      <c r="K112" s="105"/>
      <c r="L112" s="306"/>
      <c r="M112" s="306"/>
    </row>
    <row r="113" spans="2:13">
      <c r="B113" s="313"/>
      <c r="C113" s="306"/>
      <c r="E113" s="318"/>
      <c r="G113" s="197"/>
      <c r="H113" s="110"/>
      <c r="I113" s="306"/>
      <c r="J113" s="313"/>
      <c r="K113" s="306"/>
      <c r="L113" s="306"/>
      <c r="M113" s="306"/>
    </row>
    <row r="114" spans="2:13" ht="18">
      <c r="B114" s="335"/>
      <c r="C114" s="334"/>
      <c r="D114" s="173"/>
      <c r="E114" s="173"/>
      <c r="I114" s="105"/>
      <c r="J114" s="105"/>
      <c r="K114" s="105"/>
      <c r="L114" s="306"/>
      <c r="M114" s="306"/>
    </row>
    <row r="115" spans="2:13" ht="18">
      <c r="B115" s="313"/>
      <c r="C115" s="306"/>
      <c r="D115" s="171"/>
      <c r="E115" s="176"/>
      <c r="I115" s="105"/>
      <c r="J115" s="105"/>
      <c r="K115" s="105"/>
      <c r="L115" s="306"/>
      <c r="M115" s="306"/>
    </row>
    <row r="116" spans="2:13" ht="18">
      <c r="B116" s="313"/>
      <c r="C116" s="306"/>
      <c r="D116" s="187"/>
      <c r="E116" s="306"/>
      <c r="I116" s="105"/>
      <c r="J116" s="105"/>
      <c r="K116" s="105"/>
      <c r="L116" s="306"/>
      <c r="M116" s="306"/>
    </row>
    <row r="117" spans="2:13" ht="18">
      <c r="B117" s="313"/>
      <c r="C117" s="306"/>
      <c r="D117" s="187"/>
      <c r="E117" s="306"/>
      <c r="F117" s="313"/>
      <c r="L117" s="336"/>
      <c r="M117" s="318"/>
    </row>
    <row r="118" spans="2:13" ht="18">
      <c r="B118" s="313"/>
      <c r="C118" s="306"/>
      <c r="D118" s="176"/>
      <c r="E118" s="173"/>
      <c r="F118" s="317"/>
      <c r="L118" s="336"/>
      <c r="M118" s="318"/>
    </row>
    <row r="119" spans="2:13" ht="18">
      <c r="B119" s="313"/>
      <c r="C119" s="306"/>
      <c r="D119" s="194"/>
      <c r="E119" s="173"/>
      <c r="H119" s="317"/>
      <c r="I119" s="318"/>
      <c r="J119" s="329"/>
      <c r="K119" s="334"/>
      <c r="L119" s="336"/>
      <c r="M119" s="318"/>
    </row>
    <row r="120" spans="2:13" ht="18">
      <c r="B120" s="313"/>
      <c r="C120" s="306"/>
      <c r="D120" s="173"/>
      <c r="E120" s="318"/>
      <c r="F120" s="333"/>
      <c r="H120" s="110"/>
      <c r="I120" s="318"/>
      <c r="J120" s="329"/>
      <c r="K120" s="334"/>
      <c r="L120" s="336"/>
      <c r="M120" s="318"/>
    </row>
    <row r="121" spans="2:13" ht="18">
      <c r="B121" s="313"/>
      <c r="C121" s="306"/>
      <c r="D121" s="173"/>
      <c r="E121" s="318"/>
      <c r="F121" s="317"/>
      <c r="H121" s="110"/>
      <c r="I121" s="318"/>
      <c r="J121" s="329"/>
      <c r="K121" s="334"/>
      <c r="L121" s="336"/>
      <c r="M121" s="318"/>
    </row>
    <row r="122" spans="2:13" ht="18">
      <c r="B122" s="313"/>
      <c r="C122" s="306"/>
      <c r="D122" s="173"/>
      <c r="E122" s="173"/>
      <c r="F122" s="317"/>
      <c r="H122" s="110"/>
      <c r="I122" s="318"/>
      <c r="J122" s="329"/>
      <c r="K122" s="334"/>
      <c r="L122" s="336"/>
      <c r="M122" s="318"/>
    </row>
    <row r="123" spans="2:13" ht="18">
      <c r="B123" s="313"/>
      <c r="C123" s="306"/>
      <c r="D123" s="171"/>
      <c r="E123" s="176"/>
      <c r="H123" s="110"/>
      <c r="I123" s="318"/>
      <c r="J123" s="329"/>
      <c r="K123" s="334"/>
      <c r="L123" s="336"/>
      <c r="M123" s="318"/>
    </row>
    <row r="124" spans="2:13" ht="18">
      <c r="B124" s="313"/>
      <c r="C124" s="306"/>
      <c r="D124" s="194"/>
      <c r="E124" s="173"/>
      <c r="F124" s="108" t="s">
        <v>586</v>
      </c>
      <c r="G124" s="195"/>
      <c r="H124" s="110"/>
      <c r="I124" s="306"/>
      <c r="J124" s="329"/>
      <c r="K124" s="334"/>
      <c r="L124" s="336"/>
      <c r="M124" s="318"/>
    </row>
    <row r="125" spans="2:13" ht="18">
      <c r="B125" s="313"/>
      <c r="C125" s="306"/>
      <c r="D125" s="176"/>
      <c r="E125" s="171"/>
      <c r="F125" s="337"/>
      <c r="H125" s="104"/>
      <c r="I125" s="306"/>
      <c r="J125" s="329"/>
      <c r="K125" s="334"/>
      <c r="L125" s="306"/>
      <c r="M125" s="306"/>
    </row>
    <row r="126" spans="2:13" ht="18">
      <c r="B126" s="313"/>
      <c r="C126" s="306"/>
      <c r="D126" s="171"/>
      <c r="E126" s="173"/>
      <c r="F126" s="338"/>
      <c r="H126" s="110"/>
      <c r="I126" s="306"/>
      <c r="J126" s="329"/>
      <c r="K126" s="334"/>
      <c r="L126" s="306"/>
      <c r="M126" s="306"/>
    </row>
    <row r="127" spans="2:13" ht="18">
      <c r="B127" s="313"/>
      <c r="C127" s="306"/>
      <c r="D127" s="171"/>
      <c r="E127" s="173"/>
      <c r="F127" s="317"/>
      <c r="G127" s="182"/>
      <c r="H127" s="110"/>
      <c r="I127" s="306"/>
      <c r="J127" s="329"/>
      <c r="K127" s="334"/>
      <c r="L127" s="306"/>
      <c r="M127" s="306"/>
    </row>
    <row r="128" spans="2:13" ht="18">
      <c r="B128" s="313"/>
      <c r="C128" s="306"/>
      <c r="D128" s="187"/>
      <c r="E128" s="318"/>
      <c r="F128" s="317"/>
      <c r="G128" s="197"/>
      <c r="H128" s="110"/>
      <c r="I128" s="306"/>
      <c r="J128" s="329"/>
      <c r="K128" s="334"/>
      <c r="L128" s="306"/>
      <c r="M128" s="306"/>
    </row>
    <row r="129" spans="2:13" ht="18">
      <c r="B129" s="313"/>
      <c r="C129" s="306"/>
      <c r="D129" s="173"/>
      <c r="E129" s="173"/>
      <c r="F129" s="317"/>
      <c r="G129" s="197"/>
      <c r="H129" s="110"/>
      <c r="I129" s="306"/>
      <c r="J129" s="329"/>
      <c r="K129" s="334"/>
      <c r="L129" s="306"/>
      <c r="M129" s="306"/>
    </row>
    <row r="130" spans="2:13" ht="18">
      <c r="B130" s="313"/>
      <c r="C130" s="306"/>
      <c r="D130" s="176"/>
      <c r="E130" s="173"/>
      <c r="F130" s="317"/>
      <c r="G130" s="197"/>
      <c r="H130" s="110"/>
      <c r="I130" s="306"/>
      <c r="J130" s="329"/>
      <c r="K130" s="334"/>
      <c r="L130" s="306"/>
      <c r="M130" s="306"/>
    </row>
    <row r="131" spans="2:13" ht="18">
      <c r="B131" s="313"/>
      <c r="C131" s="306"/>
      <c r="D131" s="194"/>
      <c r="E131" s="173"/>
      <c r="F131" s="333"/>
      <c r="G131" s="197"/>
      <c r="H131" s="110"/>
      <c r="I131" s="306"/>
      <c r="J131" s="329"/>
      <c r="K131" s="334"/>
      <c r="L131" s="306"/>
      <c r="M131" s="306"/>
    </row>
    <row r="132" spans="2:13" ht="18">
      <c r="B132" s="313"/>
      <c r="C132" s="306"/>
      <c r="D132" s="171"/>
      <c r="E132" s="173"/>
      <c r="F132" s="333"/>
      <c r="G132" s="324"/>
      <c r="H132" s="110"/>
      <c r="I132" s="306"/>
      <c r="J132" s="329"/>
      <c r="K132" s="334"/>
      <c r="L132" s="306"/>
      <c r="M132" s="306"/>
    </row>
    <row r="133" spans="2:13">
      <c r="B133" s="313"/>
      <c r="C133" s="306"/>
      <c r="D133" s="306"/>
      <c r="E133" s="173"/>
      <c r="F133" s="317"/>
      <c r="G133" s="197"/>
      <c r="H133" s="110"/>
      <c r="I133" s="306"/>
      <c r="J133" s="313"/>
      <c r="K133" s="306"/>
      <c r="L133" s="306"/>
      <c r="M133" s="306"/>
    </row>
    <row r="134" spans="2:13">
      <c r="B134" s="313"/>
      <c r="C134" s="306"/>
      <c r="E134" s="173"/>
      <c r="F134" s="317"/>
      <c r="G134" s="197"/>
      <c r="H134" s="110"/>
      <c r="I134" s="306"/>
      <c r="J134" s="313"/>
      <c r="K134" s="306"/>
      <c r="L134" s="306"/>
      <c r="M134" s="306"/>
    </row>
    <row r="135" spans="2:13">
      <c r="B135" s="313"/>
      <c r="C135" s="306"/>
      <c r="E135" s="306"/>
      <c r="F135" s="313"/>
      <c r="G135" s="197"/>
      <c r="H135" s="110"/>
      <c r="I135" s="306"/>
      <c r="J135" s="313"/>
      <c r="K135" s="306"/>
      <c r="L135" s="306"/>
      <c r="M135" s="306"/>
    </row>
    <row r="136" spans="2:13">
      <c r="B136" s="313"/>
      <c r="C136" s="306"/>
      <c r="E136" s="306"/>
      <c r="F136" s="313"/>
      <c r="G136" s="197"/>
      <c r="H136" s="110"/>
      <c r="I136" s="306"/>
      <c r="J136" s="313"/>
      <c r="K136" s="306"/>
      <c r="L136" s="306"/>
      <c r="M136" s="306"/>
    </row>
    <row r="137" spans="2:13">
      <c r="B137" s="313"/>
      <c r="C137" s="306"/>
      <c r="E137" s="306"/>
      <c r="F137" s="313"/>
      <c r="G137" s="197"/>
      <c r="H137" s="110"/>
      <c r="I137" s="306"/>
      <c r="J137" s="313"/>
      <c r="K137" s="306"/>
      <c r="L137" s="306"/>
      <c r="M137" s="306"/>
    </row>
    <row r="138" spans="2:13">
      <c r="B138" s="313"/>
      <c r="C138" s="306"/>
      <c r="E138" s="306"/>
      <c r="F138" s="313"/>
      <c r="G138" s="197"/>
      <c r="H138" s="110"/>
      <c r="I138" s="306"/>
      <c r="J138" s="313"/>
      <c r="K138" s="306"/>
      <c r="L138" s="306"/>
      <c r="M138" s="306"/>
    </row>
    <row r="139" spans="2:13">
      <c r="E139" s="306"/>
      <c r="F139" s="313"/>
      <c r="G139" s="197"/>
      <c r="H139" s="110"/>
      <c r="I139" s="306"/>
      <c r="J139" s="313"/>
      <c r="K139" s="306"/>
      <c r="L139" s="306"/>
      <c r="M139" s="306"/>
    </row>
    <row r="140" spans="2:13">
      <c r="E140" s="306"/>
      <c r="F140" s="313"/>
      <c r="G140" s="197"/>
      <c r="H140" s="110"/>
      <c r="I140" s="306"/>
      <c r="J140" s="313"/>
      <c r="K140" s="306"/>
      <c r="L140" s="306"/>
      <c r="M140" s="306"/>
    </row>
    <row r="141" spans="2:13">
      <c r="E141" s="306"/>
      <c r="F141" s="313"/>
      <c r="G141" s="197"/>
      <c r="H141" s="110"/>
      <c r="I141" s="306"/>
      <c r="J141" s="313"/>
      <c r="K141" s="306"/>
      <c r="L141" s="306"/>
      <c r="M141" s="306"/>
    </row>
    <row r="142" spans="2:13">
      <c r="E142" s="306"/>
      <c r="F142" s="313"/>
      <c r="G142" s="197"/>
      <c r="H142" s="110"/>
      <c r="I142" s="306"/>
      <c r="J142" s="313"/>
      <c r="K142" s="306"/>
      <c r="L142" s="306"/>
      <c r="M142" s="306"/>
    </row>
    <row r="143" spans="2:13">
      <c r="E143" s="306"/>
      <c r="F143" s="313"/>
      <c r="G143" s="197"/>
      <c r="H143" s="110"/>
      <c r="I143" s="306"/>
      <c r="J143" s="313"/>
      <c r="K143" s="306"/>
      <c r="L143" s="306"/>
      <c r="M143" s="306"/>
    </row>
    <row r="144" spans="2:13">
      <c r="E144" s="306"/>
      <c r="F144" s="313"/>
      <c r="G144" s="197"/>
      <c r="H144" s="110"/>
      <c r="I144" s="306"/>
      <c r="J144" s="313"/>
      <c r="K144" s="306"/>
      <c r="L144" s="306"/>
      <c r="M144" s="306"/>
    </row>
    <row r="145" spans="5:13">
      <c r="E145" s="306"/>
      <c r="F145" s="313"/>
      <c r="G145" s="197"/>
      <c r="H145" s="110"/>
      <c r="I145" s="306"/>
      <c r="J145" s="313"/>
      <c r="K145" s="306"/>
      <c r="L145" s="306"/>
      <c r="M145" s="306"/>
    </row>
    <row r="146" spans="5:13">
      <c r="E146" s="306"/>
      <c r="F146" s="313"/>
      <c r="G146" s="197"/>
      <c r="H146" s="110"/>
      <c r="I146" s="306"/>
      <c r="J146" s="313"/>
      <c r="K146" s="306"/>
      <c r="L146" s="306"/>
      <c r="M146" s="306"/>
    </row>
    <row r="147" spans="5:13">
      <c r="E147" s="306"/>
      <c r="F147" s="313"/>
      <c r="G147" s="197"/>
      <c r="H147" s="110"/>
      <c r="I147" s="306"/>
      <c r="J147" s="313"/>
      <c r="K147" s="306"/>
      <c r="L147" s="306"/>
      <c r="M147" s="306"/>
    </row>
    <row r="148" spans="5:13">
      <c r="E148" s="306"/>
      <c r="F148" s="313"/>
      <c r="G148" s="197"/>
      <c r="H148" s="110"/>
      <c r="I148" s="306"/>
      <c r="J148" s="313"/>
      <c r="K148" s="306"/>
      <c r="L148" s="306"/>
      <c r="M148" s="306"/>
    </row>
    <row r="149" spans="5:13">
      <c r="E149" s="306"/>
      <c r="F149" s="313"/>
      <c r="G149" s="197"/>
      <c r="H149" s="110"/>
      <c r="I149" s="306"/>
      <c r="J149" s="313"/>
      <c r="K149" s="306"/>
      <c r="L149" s="306"/>
      <c r="M149" s="306"/>
    </row>
    <row r="150" spans="5:13">
      <c r="E150" s="306"/>
      <c r="F150" s="313"/>
      <c r="G150" s="197"/>
      <c r="H150" s="110"/>
      <c r="I150" s="306"/>
      <c r="J150" s="313"/>
      <c r="K150" s="306"/>
      <c r="L150" s="306"/>
      <c r="M150" s="306"/>
    </row>
    <row r="151" spans="5:13">
      <c r="E151" s="306"/>
      <c r="F151" s="313"/>
      <c r="G151" s="197"/>
      <c r="H151" s="110"/>
      <c r="I151" s="306"/>
      <c r="J151" s="313"/>
      <c r="K151" s="306"/>
      <c r="L151" s="306"/>
      <c r="M151" s="306"/>
    </row>
    <row r="152" spans="5:13">
      <c r="E152" s="306"/>
      <c r="F152" s="313"/>
      <c r="G152" s="197"/>
      <c r="H152" s="110"/>
      <c r="I152" s="306"/>
      <c r="J152" s="313"/>
      <c r="K152" s="306"/>
      <c r="L152" s="306"/>
      <c r="M152" s="306"/>
    </row>
    <row r="153" spans="5:13">
      <c r="E153" s="306"/>
      <c r="F153" s="313"/>
      <c r="G153" s="197"/>
      <c r="H153" s="110"/>
      <c r="I153" s="306"/>
      <c r="J153" s="313"/>
      <c r="K153" s="306"/>
      <c r="L153" s="306"/>
      <c r="M153" s="306"/>
    </row>
    <row r="154" spans="5:13">
      <c r="G154" s="197"/>
      <c r="H154" s="110"/>
      <c r="I154" s="306"/>
      <c r="J154" s="313"/>
      <c r="K154" s="306"/>
      <c r="L154" s="306"/>
      <c r="M154" s="306"/>
    </row>
    <row r="155" spans="5:13">
      <c r="G155" s="197"/>
      <c r="H155" s="110"/>
      <c r="I155" s="306"/>
      <c r="J155" s="313"/>
      <c r="K155" s="306"/>
      <c r="L155" s="306"/>
      <c r="M155" s="306"/>
    </row>
    <row r="156" spans="5:13">
      <c r="G156" s="197"/>
      <c r="H156" s="110"/>
      <c r="I156" s="306"/>
      <c r="J156" s="313"/>
      <c r="K156" s="306"/>
      <c r="L156" s="306"/>
      <c r="M156" s="306"/>
    </row>
  </sheetData>
  <printOptions horizontalCentered="1" vertic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53"/>
  <sheetViews>
    <sheetView tabSelected="1" topLeftCell="B1" zoomScale="80" zoomScaleNormal="80" workbookViewId="0">
      <selection activeCell="R30" sqref="R30"/>
    </sheetView>
  </sheetViews>
  <sheetFormatPr defaultColWidth="7.6640625" defaultRowHeight="17.25"/>
  <cols>
    <col min="1" max="1" width="7.6640625" style="198" hidden="1"/>
    <col min="2" max="2" width="8.109375" style="198" customWidth="1"/>
    <col min="3" max="3" width="6.6640625" style="198" customWidth="1"/>
    <col min="4" max="4" width="8.6640625" style="198" customWidth="1"/>
    <col min="5" max="5" width="13.33203125" style="198" customWidth="1"/>
    <col min="6" max="6" width="4.33203125" style="198" customWidth="1"/>
    <col min="7" max="7" width="13.5546875" style="198" customWidth="1"/>
    <col min="8" max="8" width="20.77734375" style="198" customWidth="1"/>
    <col min="9" max="9" width="2.6640625" style="198" customWidth="1"/>
    <col min="10" max="10" width="20.77734375" style="198" customWidth="1"/>
    <col min="11" max="14" width="7.6640625" style="205"/>
    <col min="15" max="15" width="17" style="198" customWidth="1"/>
    <col min="16" max="16" width="5.77734375" style="198" customWidth="1"/>
    <col min="17" max="17" width="2.77734375" style="198" customWidth="1"/>
    <col min="18" max="18" width="6.77734375" style="200" customWidth="1"/>
    <col min="19" max="19" width="15.77734375" style="200" customWidth="1"/>
    <col min="20" max="22" width="5.33203125" style="200" customWidth="1"/>
    <col min="23" max="23" width="6.77734375" style="200" customWidth="1"/>
    <col min="24" max="24" width="2.77734375" style="198" customWidth="1"/>
    <col min="25" max="25" width="6.77734375" style="200" customWidth="1"/>
    <col min="26" max="26" width="15.77734375" style="200" customWidth="1"/>
    <col min="27" max="29" width="5.33203125" style="200" customWidth="1"/>
    <col min="30" max="30" width="6.77734375" style="200" customWidth="1"/>
    <col min="31" max="1024" width="7.6640625" style="198"/>
  </cols>
  <sheetData>
    <row r="1" spans="2:30" ht="24.75">
      <c r="B1" s="201" t="s">
        <v>1015</v>
      </c>
      <c r="C1" s="202"/>
      <c r="D1" s="203"/>
      <c r="E1" s="204"/>
      <c r="F1" s="202"/>
      <c r="G1" s="205"/>
      <c r="H1" s="206"/>
    </row>
    <row r="2" spans="2:30" ht="25.5">
      <c r="B2" s="207" t="s">
        <v>1016</v>
      </c>
      <c r="C2" s="202"/>
      <c r="D2" s="203"/>
      <c r="E2" s="204"/>
      <c r="F2" s="202"/>
      <c r="G2" s="205"/>
      <c r="H2" s="208"/>
      <c r="J2" s="209"/>
    </row>
    <row r="3" spans="2:30" ht="20.25">
      <c r="B3" s="202"/>
      <c r="C3" s="210"/>
      <c r="D3" s="211"/>
      <c r="E3" s="211"/>
      <c r="F3" s="212"/>
      <c r="G3" s="213"/>
      <c r="H3" s="214"/>
      <c r="I3" s="214"/>
      <c r="J3" s="214"/>
      <c r="K3" s="205" t="s">
        <v>591</v>
      </c>
      <c r="L3" s="205" t="s">
        <v>592</v>
      </c>
      <c r="M3" s="205" t="s">
        <v>592</v>
      </c>
      <c r="N3" s="205" t="s">
        <v>591</v>
      </c>
    </row>
    <row r="4" spans="2:30">
      <c r="B4" s="215" t="s">
        <v>593</v>
      </c>
      <c r="C4" s="508" t="s">
        <v>594</v>
      </c>
      <c r="D4" s="508"/>
      <c r="E4" s="509" t="s">
        <v>595</v>
      </c>
      <c r="F4" s="509"/>
      <c r="G4" s="509"/>
      <c r="H4" s="216" t="s">
        <v>596</v>
      </c>
      <c r="I4" s="217"/>
      <c r="J4" s="216" t="s">
        <v>597</v>
      </c>
      <c r="K4" s="225"/>
      <c r="L4" s="225"/>
      <c r="M4" s="225"/>
      <c r="N4" s="225"/>
    </row>
    <row r="5" spans="2:30" ht="16.5" customHeight="1">
      <c r="B5" s="220" t="s">
        <v>598</v>
      </c>
      <c r="C5" s="510" t="s">
        <v>599</v>
      </c>
      <c r="D5" s="510"/>
      <c r="E5" s="511" t="s">
        <v>600</v>
      </c>
      <c r="F5" s="511"/>
      <c r="G5" s="511"/>
      <c r="H5" s="216" t="s">
        <v>50</v>
      </c>
      <c r="I5" s="225"/>
      <c r="J5" s="216" t="s">
        <v>50</v>
      </c>
      <c r="K5" s="225"/>
      <c r="L5" s="225"/>
      <c r="M5" s="225"/>
      <c r="N5" s="225"/>
    </row>
    <row r="6" spans="2:30">
      <c r="B6" s="240">
        <v>1</v>
      </c>
      <c r="C6" s="222" t="s">
        <v>424</v>
      </c>
      <c r="D6" s="246">
        <v>1</v>
      </c>
      <c r="E6" s="247" t="s">
        <v>70</v>
      </c>
      <c r="F6" s="234" t="s">
        <v>601</v>
      </c>
      <c r="G6" s="234" t="s">
        <v>602</v>
      </c>
      <c r="H6" s="225" t="str">
        <f>VLOOKUP(E6,WD!$C$6:$K$102,3,FALSE())</f>
        <v>ST</v>
      </c>
      <c r="I6" s="216" t="s">
        <v>601</v>
      </c>
      <c r="J6" s="216" t="s">
        <v>1017</v>
      </c>
      <c r="K6" s="226">
        <v>2</v>
      </c>
      <c r="L6" s="226">
        <f>21+21</f>
        <v>42</v>
      </c>
      <c r="M6" s="226">
        <f>5+12</f>
        <v>17</v>
      </c>
      <c r="N6" s="226">
        <v>0</v>
      </c>
      <c r="O6" s="230" t="s">
        <v>1018</v>
      </c>
      <c r="Q6" s="200"/>
      <c r="X6" s="200"/>
    </row>
    <row r="7" spans="2:30">
      <c r="B7" s="242">
        <v>2</v>
      </c>
      <c r="C7" s="232" t="s">
        <v>424</v>
      </c>
      <c r="D7" s="246">
        <v>2</v>
      </c>
      <c r="E7" s="247" t="s">
        <v>160</v>
      </c>
      <c r="F7" s="234" t="s">
        <v>601</v>
      </c>
      <c r="G7" s="234" t="s">
        <v>166</v>
      </c>
      <c r="H7" s="225" t="str">
        <f>VLOOKUP(E7,WD!$C$6:$K$102,3,FALSE())</f>
        <v>J&amp;M</v>
      </c>
      <c r="I7" s="216" t="s">
        <v>601</v>
      </c>
      <c r="J7" s="225" t="str">
        <f>VLOOKUP(G7,WD!$C$6:$K$102,3,FALSE())</f>
        <v>YWS</v>
      </c>
      <c r="K7" s="226">
        <v>1</v>
      </c>
      <c r="L7" s="226">
        <f>4+25</f>
        <v>29</v>
      </c>
      <c r="M7" s="226">
        <f>21+23</f>
        <v>44</v>
      </c>
      <c r="N7" s="226">
        <v>1</v>
      </c>
      <c r="O7" s="230" t="s">
        <v>1019</v>
      </c>
      <c r="Q7" s="227" t="s">
        <v>424</v>
      </c>
      <c r="R7" s="229" t="s">
        <v>605</v>
      </c>
      <c r="S7" s="229" t="s">
        <v>49</v>
      </c>
      <c r="T7" s="229" t="s">
        <v>606</v>
      </c>
      <c r="U7" s="229" t="s">
        <v>607</v>
      </c>
      <c r="V7" s="229" t="s">
        <v>608</v>
      </c>
      <c r="W7" s="229" t="s">
        <v>60</v>
      </c>
      <c r="X7" s="230" t="s">
        <v>425</v>
      </c>
      <c r="Y7" s="229" t="s">
        <v>605</v>
      </c>
      <c r="Z7" s="229" t="s">
        <v>49</v>
      </c>
      <c r="AA7" s="229" t="s">
        <v>606</v>
      </c>
      <c r="AB7" s="229" t="s">
        <v>607</v>
      </c>
      <c r="AC7" s="229" t="s">
        <v>608</v>
      </c>
      <c r="AD7" s="229" t="s">
        <v>60</v>
      </c>
    </row>
    <row r="8" spans="2:30">
      <c r="B8" s="242">
        <v>3</v>
      </c>
      <c r="C8" s="232" t="s">
        <v>424</v>
      </c>
      <c r="D8" s="233">
        <v>3</v>
      </c>
      <c r="E8" s="234" t="s">
        <v>70</v>
      </c>
      <c r="F8" s="234" t="s">
        <v>601</v>
      </c>
      <c r="G8" s="234" t="s">
        <v>166</v>
      </c>
      <c r="H8" s="225" t="str">
        <f>VLOOKUP(E8,WD!$C$6:$K$102,3,FALSE())</f>
        <v>ST</v>
      </c>
      <c r="I8" s="216" t="s">
        <v>601</v>
      </c>
      <c r="J8" s="225" t="str">
        <f>VLOOKUP(G8,WD!$C$6:$K$102,3,FALSE())</f>
        <v>YWS</v>
      </c>
      <c r="K8" s="226">
        <v>2</v>
      </c>
      <c r="L8" s="226">
        <f>21+21</f>
        <v>42</v>
      </c>
      <c r="M8" s="226">
        <f>10+10</f>
        <v>20</v>
      </c>
      <c r="N8" s="226">
        <v>0</v>
      </c>
      <c r="O8" s="230" t="s">
        <v>1020</v>
      </c>
      <c r="Q8" s="219"/>
      <c r="R8" s="339">
        <v>1</v>
      </c>
      <c r="S8" s="235" t="s">
        <v>667</v>
      </c>
      <c r="T8" s="236">
        <v>3</v>
      </c>
      <c r="U8" s="236">
        <v>0</v>
      </c>
      <c r="V8" s="236">
        <v>0</v>
      </c>
      <c r="W8" s="236">
        <f>T8*3+U8*1</f>
        <v>9</v>
      </c>
      <c r="Y8" s="339">
        <v>1</v>
      </c>
      <c r="Z8" s="235" t="s">
        <v>672</v>
      </c>
      <c r="AA8" s="236">
        <v>3</v>
      </c>
      <c r="AB8" s="236">
        <v>0</v>
      </c>
      <c r="AC8" s="236">
        <v>0</v>
      </c>
      <c r="AD8" s="236">
        <f>AA8*3+AB8*1</f>
        <v>9</v>
      </c>
    </row>
    <row r="9" spans="2:30">
      <c r="B9" s="242">
        <v>4</v>
      </c>
      <c r="C9" s="232" t="s">
        <v>424</v>
      </c>
      <c r="D9" s="246">
        <v>4</v>
      </c>
      <c r="E9" s="247" t="s">
        <v>160</v>
      </c>
      <c r="F9" s="234" t="s">
        <v>601</v>
      </c>
      <c r="G9" s="234" t="s">
        <v>602</v>
      </c>
      <c r="H9" s="225" t="str">
        <f>VLOOKUP(E9,WD!$C$6:$K$102,3,FALSE())</f>
        <v>J&amp;M</v>
      </c>
      <c r="I9" s="216" t="s">
        <v>601</v>
      </c>
      <c r="J9" s="216" t="s">
        <v>1017</v>
      </c>
      <c r="K9" s="226">
        <v>1</v>
      </c>
      <c r="L9" s="226">
        <f>22+18</f>
        <v>40</v>
      </c>
      <c r="M9" s="226">
        <f>20+21</f>
        <v>41</v>
      </c>
      <c r="N9" s="226">
        <v>1</v>
      </c>
      <c r="O9" s="230" t="s">
        <v>1021</v>
      </c>
      <c r="Q9" s="219"/>
      <c r="R9" s="339">
        <v>2</v>
      </c>
      <c r="S9" s="235" t="s">
        <v>1017</v>
      </c>
      <c r="T9" s="236">
        <v>1</v>
      </c>
      <c r="U9" s="236">
        <v>1</v>
      </c>
      <c r="V9" s="236">
        <v>1</v>
      </c>
      <c r="W9" s="236">
        <f>T9*3+U9*1</f>
        <v>4</v>
      </c>
      <c r="Y9" s="339">
        <v>2</v>
      </c>
      <c r="Z9" s="236" t="s">
        <v>736</v>
      </c>
      <c r="AA9" s="236">
        <v>1</v>
      </c>
      <c r="AB9" s="236">
        <v>1</v>
      </c>
      <c r="AC9" s="236">
        <v>1</v>
      </c>
      <c r="AD9" s="236">
        <f>AA9*3+AB9*1</f>
        <v>4</v>
      </c>
    </row>
    <row r="10" spans="2:30">
      <c r="B10" s="240">
        <v>5</v>
      </c>
      <c r="C10" s="232" t="s">
        <v>424</v>
      </c>
      <c r="D10" s="246">
        <v>5</v>
      </c>
      <c r="E10" s="247" t="s">
        <v>166</v>
      </c>
      <c r="F10" s="234" t="s">
        <v>601</v>
      </c>
      <c r="G10" s="234" t="s">
        <v>602</v>
      </c>
      <c r="H10" s="225" t="str">
        <f>VLOOKUP(E10,WD!$C$6:$K$102,3,FALSE())</f>
        <v>YWS</v>
      </c>
      <c r="I10" s="216" t="s">
        <v>601</v>
      </c>
      <c r="J10" s="216" t="s">
        <v>1017</v>
      </c>
      <c r="K10" s="226">
        <v>0</v>
      </c>
      <c r="L10" s="226">
        <f>20+6</f>
        <v>26</v>
      </c>
      <c r="M10" s="226">
        <f>22+21</f>
        <v>43</v>
      </c>
      <c r="N10" s="226">
        <v>1</v>
      </c>
      <c r="O10" s="230" t="s">
        <v>1022</v>
      </c>
      <c r="Q10" s="219"/>
      <c r="R10" s="339">
        <v>3</v>
      </c>
      <c r="S10" s="235" t="s">
        <v>741</v>
      </c>
      <c r="T10" s="236">
        <v>0</v>
      </c>
      <c r="U10" s="236">
        <v>2</v>
      </c>
      <c r="V10" s="236">
        <v>1</v>
      </c>
      <c r="W10" s="236">
        <f>T10*3+U10*1</f>
        <v>2</v>
      </c>
      <c r="Y10" s="339">
        <v>3</v>
      </c>
      <c r="Z10" s="235" t="s">
        <v>826</v>
      </c>
      <c r="AA10" s="236">
        <v>0</v>
      </c>
      <c r="AB10" s="236">
        <v>2</v>
      </c>
      <c r="AC10" s="236">
        <v>1</v>
      </c>
      <c r="AD10" s="236">
        <f>AA10*3+AB10*1</f>
        <v>2</v>
      </c>
    </row>
    <row r="11" spans="2:30">
      <c r="B11" s="242">
        <v>6</v>
      </c>
      <c r="C11" s="232" t="s">
        <v>424</v>
      </c>
      <c r="D11" s="238">
        <v>6</v>
      </c>
      <c r="E11" s="250" t="s">
        <v>70</v>
      </c>
      <c r="F11" s="239" t="s">
        <v>601</v>
      </c>
      <c r="G11" s="239" t="s">
        <v>160</v>
      </c>
      <c r="H11" s="225" t="str">
        <f>VLOOKUP(E11,WD!$C$6:$K$102,3,FALSE())</f>
        <v>ST</v>
      </c>
      <c r="I11" s="216" t="s">
        <v>601</v>
      </c>
      <c r="J11" s="225" t="str">
        <f>VLOOKUP(G11,WD!$C$6:$K$102,3,FALSE())</f>
        <v>J&amp;M</v>
      </c>
      <c r="K11" s="226">
        <v>2</v>
      </c>
      <c r="L11" s="226">
        <f>21+21</f>
        <v>42</v>
      </c>
      <c r="M11" s="226">
        <f>5+9</f>
        <v>14</v>
      </c>
      <c r="N11" s="226">
        <v>0</v>
      </c>
      <c r="O11" s="230" t="s">
        <v>1023</v>
      </c>
      <c r="Q11" s="219"/>
      <c r="R11" s="339">
        <v>4</v>
      </c>
      <c r="S11" s="235" t="s">
        <v>746</v>
      </c>
      <c r="T11" s="236">
        <v>0</v>
      </c>
      <c r="U11" s="236">
        <v>1</v>
      </c>
      <c r="V11" s="236">
        <v>2</v>
      </c>
      <c r="W11" s="236">
        <f>T11*3+U11*1</f>
        <v>1</v>
      </c>
      <c r="Y11" s="339">
        <v>4</v>
      </c>
      <c r="Z11" s="235" t="s">
        <v>750</v>
      </c>
      <c r="AA11" s="236">
        <v>0</v>
      </c>
      <c r="AB11" s="236">
        <v>1</v>
      </c>
      <c r="AC11" s="236">
        <v>2</v>
      </c>
      <c r="AD11" s="236">
        <f>AA11*3+AB11*1</f>
        <v>1</v>
      </c>
    </row>
    <row r="12" spans="2:30">
      <c r="B12" s="240">
        <v>7</v>
      </c>
      <c r="C12" s="222" t="s">
        <v>425</v>
      </c>
      <c r="D12" s="246">
        <v>1</v>
      </c>
      <c r="E12" s="247" t="s">
        <v>76</v>
      </c>
      <c r="F12" s="234" t="s">
        <v>601</v>
      </c>
      <c r="G12" s="234" t="s">
        <v>616</v>
      </c>
      <c r="H12" s="225" t="str">
        <f>VLOOKUP(E12,WD!$C$6:$K$102,3,FALSE())</f>
        <v>L</v>
      </c>
      <c r="I12" s="216" t="s">
        <v>601</v>
      </c>
      <c r="J12" s="216" t="s">
        <v>826</v>
      </c>
      <c r="K12" s="226">
        <v>2</v>
      </c>
      <c r="L12" s="226">
        <f>21+21</f>
        <v>42</v>
      </c>
      <c r="M12" s="226">
        <f>11+10</f>
        <v>21</v>
      </c>
      <c r="N12" s="226">
        <v>0</v>
      </c>
      <c r="O12" s="230" t="s">
        <v>1024</v>
      </c>
      <c r="Q12" s="219"/>
      <c r="R12" s="219"/>
      <c r="S12" s="219"/>
      <c r="Y12" s="219"/>
      <c r="Z12" s="219"/>
    </row>
    <row r="13" spans="2:30">
      <c r="B13" s="242">
        <v>8</v>
      </c>
      <c r="C13" s="232" t="s">
        <v>425</v>
      </c>
      <c r="D13" s="246">
        <v>2</v>
      </c>
      <c r="E13" s="247" t="s">
        <v>154</v>
      </c>
      <c r="F13" s="234" t="s">
        <v>601</v>
      </c>
      <c r="G13" s="234" t="s">
        <v>172</v>
      </c>
      <c r="H13" s="225" t="str">
        <f>VLOOKUP(E13,WD!$C$6:$K$102,3,FALSE())</f>
        <v>初次出道</v>
      </c>
      <c r="I13" s="216" t="s">
        <v>601</v>
      </c>
      <c r="J13" s="225" t="str">
        <f>VLOOKUP(G13,WD!$C$6:$K$102,3,FALSE())</f>
        <v>ALPS-RACO</v>
      </c>
      <c r="K13" s="226">
        <v>2</v>
      </c>
      <c r="L13" s="226">
        <f>21+21</f>
        <v>42</v>
      </c>
      <c r="M13" s="226">
        <f>14+9</f>
        <v>23</v>
      </c>
      <c r="N13" s="226">
        <v>0</v>
      </c>
      <c r="O13" s="230" t="s">
        <v>1025</v>
      </c>
      <c r="Q13" s="219"/>
      <c r="R13" s="229" t="s">
        <v>605</v>
      </c>
      <c r="S13" s="229" t="s">
        <v>49</v>
      </c>
      <c r="T13" s="229" t="s">
        <v>606</v>
      </c>
      <c r="U13" s="229" t="s">
        <v>607</v>
      </c>
      <c r="V13" s="229" t="s">
        <v>608</v>
      </c>
      <c r="W13" s="229" t="s">
        <v>60</v>
      </c>
      <c r="Y13" s="229" t="s">
        <v>605</v>
      </c>
      <c r="Z13" s="229" t="s">
        <v>49</v>
      </c>
      <c r="AA13" s="229" t="s">
        <v>606</v>
      </c>
      <c r="AB13" s="229" t="s">
        <v>607</v>
      </c>
      <c r="AC13" s="229" t="s">
        <v>608</v>
      </c>
      <c r="AD13" s="229" t="s">
        <v>60</v>
      </c>
    </row>
    <row r="14" spans="2:30">
      <c r="B14" s="242">
        <v>9</v>
      </c>
      <c r="C14" s="232" t="s">
        <v>425</v>
      </c>
      <c r="D14" s="233">
        <v>3</v>
      </c>
      <c r="E14" s="234" t="s">
        <v>76</v>
      </c>
      <c r="F14" s="234" t="s">
        <v>601</v>
      </c>
      <c r="G14" s="234" t="s">
        <v>172</v>
      </c>
      <c r="H14" s="225" t="str">
        <f>VLOOKUP(E14,WD!$C$6:$K$102,3,FALSE())</f>
        <v>L</v>
      </c>
      <c r="I14" s="216" t="s">
        <v>601</v>
      </c>
      <c r="J14" s="225" t="str">
        <f>VLOOKUP(G14,WD!$C$6:$K$102,3,FALSE())</f>
        <v>ALPS-RACO</v>
      </c>
      <c r="K14" s="226">
        <v>2</v>
      </c>
      <c r="L14" s="226">
        <f>21+21</f>
        <v>42</v>
      </c>
      <c r="M14" s="226">
        <f>9+12</f>
        <v>21</v>
      </c>
      <c r="N14" s="226">
        <v>0</v>
      </c>
      <c r="O14" s="230" t="s">
        <v>1026</v>
      </c>
      <c r="Q14" s="227" t="s">
        <v>426</v>
      </c>
      <c r="R14" s="339">
        <v>1</v>
      </c>
      <c r="S14" s="235" t="s">
        <v>1027</v>
      </c>
      <c r="T14" s="236">
        <v>3</v>
      </c>
      <c r="U14" s="236">
        <v>0</v>
      </c>
      <c r="V14" s="236">
        <v>0</v>
      </c>
      <c r="W14" s="236">
        <f>T14*3+U14*1</f>
        <v>9</v>
      </c>
      <c r="X14" s="230" t="s">
        <v>427</v>
      </c>
      <c r="Y14" s="339">
        <v>1</v>
      </c>
      <c r="Z14" s="340" t="s">
        <v>1028</v>
      </c>
      <c r="AA14" s="236">
        <v>3</v>
      </c>
      <c r="AB14" s="236">
        <v>0</v>
      </c>
      <c r="AC14" s="236">
        <v>0</v>
      </c>
      <c r="AD14" s="236">
        <f>AA14*3+AB14*1</f>
        <v>9</v>
      </c>
    </row>
    <row r="15" spans="2:30">
      <c r="B15" s="242">
        <v>10</v>
      </c>
      <c r="C15" s="232" t="s">
        <v>425</v>
      </c>
      <c r="D15" s="246">
        <v>4</v>
      </c>
      <c r="E15" s="247" t="s">
        <v>154</v>
      </c>
      <c r="F15" s="234" t="s">
        <v>601</v>
      </c>
      <c r="G15" s="234" t="s">
        <v>616</v>
      </c>
      <c r="H15" s="225" t="str">
        <f>VLOOKUP(E15,WD!$C$6:$K$102,3,FALSE())</f>
        <v>初次出道</v>
      </c>
      <c r="I15" s="216" t="s">
        <v>601</v>
      </c>
      <c r="J15" s="216" t="s">
        <v>826</v>
      </c>
      <c r="K15" s="226">
        <v>1</v>
      </c>
      <c r="L15" s="226">
        <f>21+16</f>
        <v>37</v>
      </c>
      <c r="M15" s="226">
        <f>18+21</f>
        <v>39</v>
      </c>
      <c r="N15" s="226">
        <v>1</v>
      </c>
      <c r="O15" s="230" t="s">
        <v>1029</v>
      </c>
      <c r="Q15" s="219"/>
      <c r="R15" s="339">
        <v>2</v>
      </c>
      <c r="S15" s="236">
        <v>1442</v>
      </c>
      <c r="T15" s="236">
        <v>2</v>
      </c>
      <c r="U15" s="236">
        <v>0</v>
      </c>
      <c r="V15" s="236">
        <v>1</v>
      </c>
      <c r="W15" s="236">
        <f>T15*3+U15*1</f>
        <v>6</v>
      </c>
      <c r="Y15" s="339">
        <v>2</v>
      </c>
      <c r="Z15" s="235" t="s">
        <v>760</v>
      </c>
      <c r="AA15" s="236">
        <v>1</v>
      </c>
      <c r="AB15" s="236">
        <v>1</v>
      </c>
      <c r="AC15" s="236">
        <v>1</v>
      </c>
      <c r="AD15" s="236">
        <f>AA15*3+AB15*1</f>
        <v>4</v>
      </c>
    </row>
    <row r="16" spans="2:30">
      <c r="B16" s="240">
        <v>11</v>
      </c>
      <c r="C16" s="232" t="s">
        <v>425</v>
      </c>
      <c r="D16" s="246">
        <v>5</v>
      </c>
      <c r="E16" s="247" t="s">
        <v>172</v>
      </c>
      <c r="F16" s="234" t="s">
        <v>601</v>
      </c>
      <c r="G16" s="234" t="s">
        <v>616</v>
      </c>
      <c r="H16" s="225" t="str">
        <f>VLOOKUP(E16,WD!$C$6:$K$102,3,FALSE())</f>
        <v>ALPS-RACO</v>
      </c>
      <c r="I16" s="216" t="s">
        <v>601</v>
      </c>
      <c r="J16" s="216" t="s">
        <v>826</v>
      </c>
      <c r="K16" s="226">
        <v>1</v>
      </c>
      <c r="L16" s="226">
        <f>21+18</f>
        <v>39</v>
      </c>
      <c r="M16" s="226">
        <f>15+21</f>
        <v>36</v>
      </c>
      <c r="N16" s="226">
        <v>1</v>
      </c>
      <c r="O16" s="230" t="s">
        <v>1030</v>
      </c>
      <c r="Q16" s="219"/>
      <c r="R16" s="339">
        <v>3</v>
      </c>
      <c r="S16" s="236" t="s">
        <v>755</v>
      </c>
      <c r="T16" s="236">
        <v>1</v>
      </c>
      <c r="U16" s="236">
        <v>0</v>
      </c>
      <c r="V16" s="236">
        <v>2</v>
      </c>
      <c r="W16" s="236">
        <f>T16*3+U16*1</f>
        <v>3</v>
      </c>
      <c r="Y16" s="339">
        <v>3</v>
      </c>
      <c r="Z16" s="235" t="s">
        <v>1031</v>
      </c>
      <c r="AA16" s="236">
        <v>1</v>
      </c>
      <c r="AB16" s="236">
        <v>0</v>
      </c>
      <c r="AC16" s="236">
        <v>2</v>
      </c>
      <c r="AD16" s="236">
        <f>AA16*3+AB16*1</f>
        <v>3</v>
      </c>
    </row>
    <row r="17" spans="2:30">
      <c r="B17" s="242">
        <v>12</v>
      </c>
      <c r="C17" s="232" t="s">
        <v>425</v>
      </c>
      <c r="D17" s="238">
        <v>6</v>
      </c>
      <c r="E17" s="250" t="s">
        <v>76</v>
      </c>
      <c r="F17" s="239" t="s">
        <v>601</v>
      </c>
      <c r="G17" s="239" t="s">
        <v>154</v>
      </c>
      <c r="H17" s="225" t="str">
        <f>VLOOKUP(E17,WD!$C$6:$K$102,3,FALSE())</f>
        <v>L</v>
      </c>
      <c r="I17" s="216" t="s">
        <v>601</v>
      </c>
      <c r="J17" s="225" t="str">
        <f>VLOOKUP(G17,WD!$C$6:$K$102,3,FALSE())</f>
        <v>初次出道</v>
      </c>
      <c r="K17" s="226">
        <v>2</v>
      </c>
      <c r="L17" s="226">
        <f t="shared" ref="L17:L24" si="0">21+21</f>
        <v>42</v>
      </c>
      <c r="M17" s="226">
        <f>17+9</f>
        <v>26</v>
      </c>
      <c r="N17" s="226">
        <v>0</v>
      </c>
      <c r="O17" s="230" t="s">
        <v>1032</v>
      </c>
      <c r="Q17" s="219"/>
      <c r="R17" s="339">
        <v>4</v>
      </c>
      <c r="S17" s="235" t="s">
        <v>810</v>
      </c>
      <c r="T17" s="236">
        <v>0</v>
      </c>
      <c r="U17" s="236">
        <v>0</v>
      </c>
      <c r="V17" s="236">
        <v>3</v>
      </c>
      <c r="W17" s="236">
        <f>T17*3+U17*1</f>
        <v>0</v>
      </c>
      <c r="Y17" s="339">
        <v>4</v>
      </c>
      <c r="Z17" s="235" t="s">
        <v>920</v>
      </c>
      <c r="AA17" s="236">
        <v>0</v>
      </c>
      <c r="AB17" s="236">
        <v>1</v>
      </c>
      <c r="AC17" s="236">
        <v>2</v>
      </c>
      <c r="AD17" s="236">
        <f>AA17*3+AB17*1</f>
        <v>1</v>
      </c>
    </row>
    <row r="18" spans="2:30">
      <c r="B18" s="240">
        <v>13</v>
      </c>
      <c r="C18" s="222" t="s">
        <v>426</v>
      </c>
      <c r="D18" s="246">
        <v>1</v>
      </c>
      <c r="E18" s="247" t="s">
        <v>82</v>
      </c>
      <c r="F18" s="234" t="s">
        <v>601</v>
      </c>
      <c r="G18" s="234" t="s">
        <v>624</v>
      </c>
      <c r="H18" s="225" t="str">
        <f>VLOOKUP(E18,WD!$C$6:$K$102,3,FALSE())</f>
        <v>Alps-稻八</v>
      </c>
      <c r="I18" s="216" t="s">
        <v>601</v>
      </c>
      <c r="J18" s="216" t="s">
        <v>810</v>
      </c>
      <c r="K18" s="226">
        <v>2</v>
      </c>
      <c r="L18" s="226">
        <f t="shared" si="0"/>
        <v>42</v>
      </c>
      <c r="M18" s="226">
        <f>10+13</f>
        <v>23</v>
      </c>
      <c r="N18" s="226">
        <v>0</v>
      </c>
      <c r="O18" s="230" t="s">
        <v>1033</v>
      </c>
      <c r="Q18" s="219"/>
      <c r="R18" s="219"/>
      <c r="S18" s="219"/>
      <c r="Y18" s="219"/>
      <c r="Z18" s="219"/>
    </row>
    <row r="19" spans="2:30">
      <c r="B19" s="242">
        <v>14</v>
      </c>
      <c r="C19" s="232" t="s">
        <v>426</v>
      </c>
      <c r="D19" s="246">
        <v>2</v>
      </c>
      <c r="E19" s="247" t="s">
        <v>148</v>
      </c>
      <c r="F19" s="234" t="s">
        <v>601</v>
      </c>
      <c r="G19" s="234" t="s">
        <v>178</v>
      </c>
      <c r="H19" s="225">
        <f>VLOOKUP(E19,WD!$C$6:$K$102,3,FALSE())</f>
        <v>1442</v>
      </c>
      <c r="I19" s="216" t="s">
        <v>601</v>
      </c>
      <c r="J19" s="225" t="str">
        <f>VLOOKUP(G19,WD!$C$6:$K$102,3,FALSE())</f>
        <v>白弱汗</v>
      </c>
      <c r="K19" s="226">
        <v>2</v>
      </c>
      <c r="L19" s="226">
        <f t="shared" si="0"/>
        <v>42</v>
      </c>
      <c r="M19" s="226">
        <f>7+11</f>
        <v>18</v>
      </c>
      <c r="N19" s="226">
        <v>0</v>
      </c>
      <c r="O19" s="230" t="s">
        <v>1034</v>
      </c>
      <c r="Q19" s="219"/>
      <c r="R19" s="229" t="s">
        <v>605</v>
      </c>
      <c r="S19" s="229" t="s">
        <v>49</v>
      </c>
      <c r="T19" s="229" t="s">
        <v>606</v>
      </c>
      <c r="U19" s="229" t="s">
        <v>607</v>
      </c>
      <c r="V19" s="229" t="s">
        <v>608</v>
      </c>
      <c r="W19" s="229" t="s">
        <v>60</v>
      </c>
      <c r="Y19" s="229" t="s">
        <v>605</v>
      </c>
      <c r="Z19" s="229" t="s">
        <v>49</v>
      </c>
      <c r="AA19" s="229" t="s">
        <v>606</v>
      </c>
      <c r="AB19" s="229" t="s">
        <v>607</v>
      </c>
      <c r="AC19" s="229" t="s">
        <v>608</v>
      </c>
      <c r="AD19" s="229" t="s">
        <v>60</v>
      </c>
    </row>
    <row r="20" spans="2:30">
      <c r="B20" s="242">
        <v>15</v>
      </c>
      <c r="C20" s="232" t="s">
        <v>426</v>
      </c>
      <c r="D20" s="233">
        <v>3</v>
      </c>
      <c r="E20" s="234" t="s">
        <v>82</v>
      </c>
      <c r="F20" s="234" t="s">
        <v>601</v>
      </c>
      <c r="G20" s="234" t="s">
        <v>178</v>
      </c>
      <c r="H20" s="225" t="str">
        <f>VLOOKUP(E20,WD!$C$6:$K$102,3,FALSE())</f>
        <v>Alps-稻八</v>
      </c>
      <c r="I20" s="216" t="s">
        <v>601</v>
      </c>
      <c r="J20" s="225" t="str">
        <f>VLOOKUP(G20,WD!$C$6:$K$102,3,FALSE())</f>
        <v>白弱汗</v>
      </c>
      <c r="K20" s="226">
        <v>2</v>
      </c>
      <c r="L20" s="226">
        <f t="shared" si="0"/>
        <v>42</v>
      </c>
      <c r="M20" s="226">
        <f>4+10</f>
        <v>14</v>
      </c>
      <c r="N20" s="226">
        <v>0</v>
      </c>
      <c r="O20" s="230" t="s">
        <v>1035</v>
      </c>
      <c r="Q20" s="227" t="s">
        <v>428</v>
      </c>
      <c r="R20" s="339">
        <v>1</v>
      </c>
      <c r="S20" s="236" t="s">
        <v>884</v>
      </c>
      <c r="T20" s="236">
        <v>1</v>
      </c>
      <c r="U20" s="236">
        <v>2</v>
      </c>
      <c r="V20" s="236">
        <v>0</v>
      </c>
      <c r="W20" s="236">
        <f>T20*3+U20*1</f>
        <v>5</v>
      </c>
      <c r="X20" s="230" t="s">
        <v>429</v>
      </c>
      <c r="Y20" s="339">
        <v>1</v>
      </c>
      <c r="Z20" s="340" t="s">
        <v>1013</v>
      </c>
      <c r="AA20" s="236">
        <v>2</v>
      </c>
      <c r="AB20" s="236">
        <v>1</v>
      </c>
      <c r="AC20" s="236">
        <v>0</v>
      </c>
      <c r="AD20" s="236">
        <f>AA20*3+AB20*1</f>
        <v>7</v>
      </c>
    </row>
    <row r="21" spans="2:30">
      <c r="B21" s="242">
        <v>16</v>
      </c>
      <c r="C21" s="232" t="s">
        <v>426</v>
      </c>
      <c r="D21" s="246">
        <v>4</v>
      </c>
      <c r="E21" s="247" t="s">
        <v>148</v>
      </c>
      <c r="F21" s="234" t="s">
        <v>601</v>
      </c>
      <c r="G21" s="234" t="s">
        <v>624</v>
      </c>
      <c r="H21" s="225">
        <f>VLOOKUP(E21,WD!$C$6:$K$102,3,FALSE())</f>
        <v>1442</v>
      </c>
      <c r="I21" s="216" t="s">
        <v>601</v>
      </c>
      <c r="J21" s="216" t="s">
        <v>810</v>
      </c>
      <c r="K21" s="226">
        <v>2</v>
      </c>
      <c r="L21" s="226">
        <f t="shared" si="0"/>
        <v>42</v>
      </c>
      <c r="M21" s="226">
        <f>19+10</f>
        <v>29</v>
      </c>
      <c r="N21" s="226">
        <v>0</v>
      </c>
      <c r="O21" s="230" t="s">
        <v>1036</v>
      </c>
      <c r="Q21" s="219"/>
      <c r="R21" s="339">
        <v>2</v>
      </c>
      <c r="S21" s="235" t="s">
        <v>765</v>
      </c>
      <c r="T21" s="236">
        <v>1</v>
      </c>
      <c r="U21" s="236">
        <v>2</v>
      </c>
      <c r="V21" s="236">
        <v>0</v>
      </c>
      <c r="W21" s="236">
        <f>T21*3+U21*1</f>
        <v>5</v>
      </c>
      <c r="Y21" s="339">
        <v>2</v>
      </c>
      <c r="Z21" s="236" t="s">
        <v>692</v>
      </c>
      <c r="AA21" s="236">
        <v>2</v>
      </c>
      <c r="AB21" s="236">
        <v>1</v>
      </c>
      <c r="AC21" s="236">
        <v>0</v>
      </c>
      <c r="AD21" s="236">
        <f>AA21*3+AB21*1</f>
        <v>7</v>
      </c>
    </row>
    <row r="22" spans="2:30">
      <c r="B22" s="240">
        <v>17</v>
      </c>
      <c r="C22" s="232" t="s">
        <v>426</v>
      </c>
      <c r="D22" s="246">
        <v>5</v>
      </c>
      <c r="E22" s="247" t="s">
        <v>178</v>
      </c>
      <c r="F22" s="234" t="s">
        <v>601</v>
      </c>
      <c r="G22" s="234" t="s">
        <v>624</v>
      </c>
      <c r="H22" s="225" t="str">
        <f>VLOOKUP(E22,WD!$C$6:$K$102,3,FALSE())</f>
        <v>白弱汗</v>
      </c>
      <c r="I22" s="216" t="s">
        <v>601</v>
      </c>
      <c r="J22" s="216" t="s">
        <v>810</v>
      </c>
      <c r="K22" s="226">
        <v>2</v>
      </c>
      <c r="L22" s="226">
        <f t="shared" si="0"/>
        <v>42</v>
      </c>
      <c r="M22" s="226">
        <f>13+17</f>
        <v>30</v>
      </c>
      <c r="N22" s="226">
        <v>0</v>
      </c>
      <c r="O22" s="230" t="s">
        <v>1037</v>
      </c>
      <c r="Q22" s="219"/>
      <c r="R22" s="339">
        <v>3</v>
      </c>
      <c r="S22" s="235" t="s">
        <v>687</v>
      </c>
      <c r="T22" s="236">
        <v>1</v>
      </c>
      <c r="U22" s="236">
        <v>1</v>
      </c>
      <c r="V22" s="236">
        <v>1</v>
      </c>
      <c r="W22" s="236">
        <f>T22*3+U22*1</f>
        <v>4</v>
      </c>
      <c r="Y22" s="339">
        <v>3</v>
      </c>
      <c r="Z22" s="235" t="s">
        <v>910</v>
      </c>
      <c r="AA22" s="236">
        <v>1</v>
      </c>
      <c r="AB22" s="236">
        <v>0</v>
      </c>
      <c r="AC22" s="236">
        <v>2</v>
      </c>
      <c r="AD22" s="236">
        <f>AA22*3+AB22*1</f>
        <v>3</v>
      </c>
    </row>
    <row r="23" spans="2:30">
      <c r="B23" s="242">
        <v>18</v>
      </c>
      <c r="C23" s="232" t="s">
        <v>426</v>
      </c>
      <c r="D23" s="238">
        <v>6</v>
      </c>
      <c r="E23" s="250" t="s">
        <v>82</v>
      </c>
      <c r="F23" s="239" t="s">
        <v>601</v>
      </c>
      <c r="G23" s="239" t="s">
        <v>148</v>
      </c>
      <c r="H23" s="225" t="str">
        <f>VLOOKUP(E23,WD!$C$6:$K$102,3,FALSE())</f>
        <v>Alps-稻八</v>
      </c>
      <c r="I23" s="216" t="s">
        <v>601</v>
      </c>
      <c r="J23" s="225">
        <f>VLOOKUP(G23,WD!$C$6:$K$102,3,FALSE())</f>
        <v>1442</v>
      </c>
      <c r="K23" s="226">
        <v>2</v>
      </c>
      <c r="L23" s="226">
        <f t="shared" si="0"/>
        <v>42</v>
      </c>
      <c r="M23" s="226">
        <f>11+8</f>
        <v>19</v>
      </c>
      <c r="N23" s="226">
        <v>0</v>
      </c>
      <c r="O23" s="230" t="s">
        <v>1038</v>
      </c>
      <c r="Q23" s="219"/>
      <c r="R23" s="339">
        <v>4</v>
      </c>
      <c r="S23" s="236" t="s">
        <v>722</v>
      </c>
      <c r="T23" s="236">
        <v>0</v>
      </c>
      <c r="U23" s="236">
        <v>1</v>
      </c>
      <c r="V23" s="236">
        <v>2</v>
      </c>
      <c r="W23" s="236">
        <f>T23*3+U23*1</f>
        <v>1</v>
      </c>
      <c r="Y23" s="339"/>
      <c r="Z23" s="235" t="s">
        <v>770</v>
      </c>
      <c r="AA23" s="236">
        <v>0</v>
      </c>
      <c r="AB23" s="236">
        <v>0</v>
      </c>
      <c r="AC23" s="236">
        <v>3</v>
      </c>
      <c r="AD23" s="236">
        <f>AA23*3+AB23*1</f>
        <v>0</v>
      </c>
    </row>
    <row r="24" spans="2:30">
      <c r="B24" s="240">
        <v>19</v>
      </c>
      <c r="C24" s="222" t="s">
        <v>427</v>
      </c>
      <c r="D24" s="246">
        <v>1</v>
      </c>
      <c r="E24" s="247" t="s">
        <v>88</v>
      </c>
      <c r="F24" s="234" t="s">
        <v>601</v>
      </c>
      <c r="G24" s="234" t="s">
        <v>631</v>
      </c>
      <c r="H24" s="225" t="str">
        <f>VLOOKUP(E24,WD!$C$6:$K$102,3,FALSE())</f>
        <v>ALPS- Pillarsports (A)</v>
      </c>
      <c r="I24" s="216" t="s">
        <v>601</v>
      </c>
      <c r="J24" s="216" t="s">
        <v>920</v>
      </c>
      <c r="K24" s="226">
        <v>2</v>
      </c>
      <c r="L24" s="226">
        <f t="shared" si="0"/>
        <v>42</v>
      </c>
      <c r="M24" s="226">
        <f>6+7</f>
        <v>13</v>
      </c>
      <c r="N24" s="226">
        <v>0</v>
      </c>
      <c r="O24" s="230" t="s">
        <v>1039</v>
      </c>
      <c r="Q24" s="219"/>
      <c r="R24" s="219"/>
      <c r="Y24" s="219"/>
    </row>
    <row r="25" spans="2:30">
      <c r="B25" s="242">
        <v>20</v>
      </c>
      <c r="C25" s="232" t="s">
        <v>427</v>
      </c>
      <c r="D25" s="246">
        <v>2</v>
      </c>
      <c r="E25" s="247" t="s">
        <v>142</v>
      </c>
      <c r="F25" s="234" t="s">
        <v>601</v>
      </c>
      <c r="G25" s="234" t="s">
        <v>184</v>
      </c>
      <c r="H25" s="225" t="str">
        <f>VLOOKUP(E25,WD!$C$6:$K$102,3,FALSE())</f>
        <v>ALPS-動靜皆宜</v>
      </c>
      <c r="I25" s="216" t="s">
        <v>601</v>
      </c>
      <c r="J25" s="225" t="str">
        <f>VLOOKUP(G25,WD!$C$6:$K$102,3,FALSE())</f>
        <v>PUIPUI</v>
      </c>
      <c r="K25" s="226">
        <v>0</v>
      </c>
      <c r="L25" s="226">
        <f>18+16</f>
        <v>34</v>
      </c>
      <c r="M25" s="226">
        <f>21+21</f>
        <v>42</v>
      </c>
      <c r="N25" s="226">
        <v>2</v>
      </c>
      <c r="O25" s="230" t="s">
        <v>1040</v>
      </c>
      <c r="Q25" s="227" t="s">
        <v>430</v>
      </c>
      <c r="R25" s="229" t="s">
        <v>605</v>
      </c>
      <c r="S25" s="229" t="s">
        <v>49</v>
      </c>
      <c r="T25" s="229" t="s">
        <v>606</v>
      </c>
      <c r="U25" s="229" t="s">
        <v>607</v>
      </c>
      <c r="V25" s="229" t="s">
        <v>608</v>
      </c>
      <c r="W25" s="229" t="s">
        <v>60</v>
      </c>
      <c r="X25" s="230" t="s">
        <v>431</v>
      </c>
      <c r="Y25" s="229" t="s">
        <v>605</v>
      </c>
      <c r="Z25" s="229" t="s">
        <v>49</v>
      </c>
      <c r="AA25" s="229" t="s">
        <v>606</v>
      </c>
      <c r="AB25" s="229" t="s">
        <v>607</v>
      </c>
      <c r="AC25" s="229" t="s">
        <v>608</v>
      </c>
      <c r="AD25" s="229" t="s">
        <v>60</v>
      </c>
    </row>
    <row r="26" spans="2:30">
      <c r="B26" s="242">
        <v>21</v>
      </c>
      <c r="C26" s="232" t="s">
        <v>427</v>
      </c>
      <c r="D26" s="233">
        <v>3</v>
      </c>
      <c r="E26" s="234" t="s">
        <v>88</v>
      </c>
      <c r="F26" s="234" t="s">
        <v>601</v>
      </c>
      <c r="G26" s="234" t="s">
        <v>184</v>
      </c>
      <c r="H26" s="225" t="str">
        <f>VLOOKUP(E26,WD!$C$6:$K$102,3,FALSE())</f>
        <v>ALPS- Pillarsports (A)</v>
      </c>
      <c r="I26" s="216" t="s">
        <v>601</v>
      </c>
      <c r="J26" s="225" t="str">
        <f>VLOOKUP(G26,WD!$C$6:$K$102,3,FALSE())</f>
        <v>PUIPUI</v>
      </c>
      <c r="K26" s="226">
        <v>2</v>
      </c>
      <c r="L26" s="226">
        <f>21+21</f>
        <v>42</v>
      </c>
      <c r="M26" s="226">
        <f>7+12</f>
        <v>19</v>
      </c>
      <c r="N26" s="226">
        <v>0</v>
      </c>
      <c r="O26" s="230" t="s">
        <v>1041</v>
      </c>
      <c r="Q26" s="219"/>
      <c r="R26" s="339">
        <v>1</v>
      </c>
      <c r="S26" s="235" t="s">
        <v>697</v>
      </c>
      <c r="T26" s="236">
        <v>2</v>
      </c>
      <c r="U26" s="236">
        <v>1</v>
      </c>
      <c r="V26" s="236">
        <v>0</v>
      </c>
      <c r="W26" s="236">
        <f>T26*3+U26*1</f>
        <v>7</v>
      </c>
      <c r="Y26" s="339">
        <v>1</v>
      </c>
      <c r="Z26" s="236" t="s">
        <v>1042</v>
      </c>
      <c r="AA26" s="236">
        <v>3</v>
      </c>
      <c r="AB26" s="236">
        <v>0</v>
      </c>
      <c r="AC26" s="236">
        <v>0</v>
      </c>
      <c r="AD26" s="236">
        <f>AA26*3+AB26*1</f>
        <v>9</v>
      </c>
    </row>
    <row r="27" spans="2:30">
      <c r="B27" s="242">
        <v>22</v>
      </c>
      <c r="C27" s="232" t="s">
        <v>427</v>
      </c>
      <c r="D27" s="246">
        <v>4</v>
      </c>
      <c r="E27" s="247" t="s">
        <v>142</v>
      </c>
      <c r="F27" s="234" t="s">
        <v>601</v>
      </c>
      <c r="G27" s="234" t="s">
        <v>631</v>
      </c>
      <c r="H27" s="225" t="str">
        <f>VLOOKUP(E27,WD!$C$6:$K$102,3,FALSE())</f>
        <v>ALPS-動靜皆宜</v>
      </c>
      <c r="I27" s="216" t="s">
        <v>601</v>
      </c>
      <c r="J27" s="216" t="s">
        <v>920</v>
      </c>
      <c r="K27" s="226">
        <v>2</v>
      </c>
      <c r="L27" s="226">
        <f>21+21</f>
        <v>42</v>
      </c>
      <c r="M27" s="226">
        <f>9+16</f>
        <v>25</v>
      </c>
      <c r="N27" s="226">
        <v>0</v>
      </c>
      <c r="O27" s="230" t="s">
        <v>1043</v>
      </c>
      <c r="Q27" s="219"/>
      <c r="R27" s="339">
        <v>2</v>
      </c>
      <c r="S27" s="236" t="s">
        <v>776</v>
      </c>
      <c r="T27" s="236">
        <v>2</v>
      </c>
      <c r="U27" s="236">
        <v>1</v>
      </c>
      <c r="V27" s="236">
        <v>0</v>
      </c>
      <c r="W27" s="236">
        <f>T27*3+U27*1</f>
        <v>7</v>
      </c>
      <c r="Y27" s="339">
        <v>2</v>
      </c>
      <c r="Z27" s="236" t="s">
        <v>781</v>
      </c>
      <c r="AA27" s="236">
        <v>2</v>
      </c>
      <c r="AB27" s="236">
        <v>0</v>
      </c>
      <c r="AC27" s="236">
        <v>1</v>
      </c>
      <c r="AD27" s="236">
        <f>AA27*3+AB27*1</f>
        <v>6</v>
      </c>
    </row>
    <row r="28" spans="2:30">
      <c r="B28" s="240">
        <v>23</v>
      </c>
      <c r="C28" s="232" t="s">
        <v>427</v>
      </c>
      <c r="D28" s="246">
        <v>5</v>
      </c>
      <c r="E28" s="247" t="s">
        <v>184</v>
      </c>
      <c r="F28" s="234" t="s">
        <v>601</v>
      </c>
      <c r="G28" s="234" t="s">
        <v>631</v>
      </c>
      <c r="H28" s="225" t="str">
        <f>VLOOKUP(E28,WD!$C$6:$K$102,3,FALSE())</f>
        <v>PUIPUI</v>
      </c>
      <c r="I28" s="216" t="s">
        <v>601</v>
      </c>
      <c r="J28" s="216" t="s">
        <v>920</v>
      </c>
      <c r="K28" s="226">
        <v>1</v>
      </c>
      <c r="L28" s="226">
        <f>21+21</f>
        <v>42</v>
      </c>
      <c r="M28" s="226">
        <f>17+23</f>
        <v>40</v>
      </c>
      <c r="N28" s="226">
        <v>1</v>
      </c>
      <c r="O28" s="230" t="s">
        <v>1044</v>
      </c>
      <c r="Q28" s="219"/>
      <c r="R28" s="339">
        <v>4</v>
      </c>
      <c r="S28" s="236" t="s">
        <v>712</v>
      </c>
      <c r="T28" s="236">
        <v>0</v>
      </c>
      <c r="U28" s="236">
        <v>0</v>
      </c>
      <c r="V28" s="236">
        <v>2</v>
      </c>
      <c r="W28" s="236">
        <f>T28*3+U28*1</f>
        <v>0</v>
      </c>
      <c r="Y28" s="339">
        <v>3</v>
      </c>
      <c r="Z28" s="235" t="s">
        <v>702</v>
      </c>
      <c r="AA28" s="236">
        <v>1</v>
      </c>
      <c r="AB28" s="236">
        <v>0</v>
      </c>
      <c r="AC28" s="236">
        <v>2</v>
      </c>
      <c r="AD28" s="236">
        <f>AA28*3+AB28*1</f>
        <v>3</v>
      </c>
    </row>
    <row r="29" spans="2:30">
      <c r="B29" s="242">
        <v>24</v>
      </c>
      <c r="C29" s="232" t="s">
        <v>427</v>
      </c>
      <c r="D29" s="238">
        <v>6</v>
      </c>
      <c r="E29" s="250" t="s">
        <v>88</v>
      </c>
      <c r="F29" s="239" t="s">
        <v>601</v>
      </c>
      <c r="G29" s="239" t="s">
        <v>142</v>
      </c>
      <c r="H29" s="225" t="str">
        <f>VLOOKUP(E29,WD!$C$6:$K$102,3,FALSE())</f>
        <v>ALPS- Pillarsports (A)</v>
      </c>
      <c r="I29" s="216" t="s">
        <v>601</v>
      </c>
      <c r="J29" s="225" t="str">
        <f>VLOOKUP(G29,WD!$C$6:$K$102,3,FALSE())</f>
        <v>ALPS-動靜皆宜</v>
      </c>
      <c r="K29" s="226">
        <v>2</v>
      </c>
      <c r="L29" s="226">
        <f>21+21</f>
        <v>42</v>
      </c>
      <c r="M29" s="226">
        <f>5+11</f>
        <v>16</v>
      </c>
      <c r="N29" s="226">
        <v>0</v>
      </c>
      <c r="O29" s="230" t="s">
        <v>987</v>
      </c>
      <c r="Q29" s="219"/>
      <c r="R29" s="339">
        <v>4</v>
      </c>
      <c r="S29" s="235" t="s">
        <v>889</v>
      </c>
      <c r="T29" s="236">
        <v>0</v>
      </c>
      <c r="U29" s="236">
        <v>0</v>
      </c>
      <c r="V29" s="236">
        <v>2</v>
      </c>
      <c r="W29" s="236">
        <f>T29*3+U29*1</f>
        <v>0</v>
      </c>
      <c r="Y29" s="339">
        <v>4</v>
      </c>
      <c r="Z29" s="235" t="s">
        <v>786</v>
      </c>
      <c r="AA29" s="236">
        <v>0</v>
      </c>
      <c r="AB29" s="236">
        <v>0</v>
      </c>
      <c r="AC29" s="236">
        <v>3</v>
      </c>
      <c r="AD29" s="236">
        <f>AA29*3+AB29*1</f>
        <v>0</v>
      </c>
    </row>
    <row r="30" spans="2:30">
      <c r="B30" s="240">
        <v>25</v>
      </c>
      <c r="C30" s="222" t="s">
        <v>428</v>
      </c>
      <c r="D30" s="246">
        <v>1</v>
      </c>
      <c r="E30" s="247" t="s">
        <v>94</v>
      </c>
      <c r="F30" s="234" t="s">
        <v>601</v>
      </c>
      <c r="G30" s="234" t="s">
        <v>641</v>
      </c>
      <c r="H30" s="225" t="str">
        <f>VLOOKUP(E30,WD!$C$6:$K$102,3,FALSE())</f>
        <v>Reunion</v>
      </c>
      <c r="I30" s="216" t="s">
        <v>601</v>
      </c>
      <c r="J30" s="225" t="s">
        <v>884</v>
      </c>
      <c r="K30" s="226">
        <v>0</v>
      </c>
      <c r="L30" s="226">
        <f>14+20</f>
        <v>34</v>
      </c>
      <c r="M30" s="226">
        <f>21+22</f>
        <v>43</v>
      </c>
      <c r="N30" s="226">
        <v>2</v>
      </c>
      <c r="O30" s="230" t="s">
        <v>1045</v>
      </c>
      <c r="Q30" s="2"/>
      <c r="R30" s="341"/>
      <c r="S30" s="341"/>
    </row>
    <row r="31" spans="2:30">
      <c r="B31" s="242">
        <v>26</v>
      </c>
      <c r="C31" s="232" t="s">
        <v>428</v>
      </c>
      <c r="D31" s="246">
        <v>2</v>
      </c>
      <c r="E31" s="247" t="s">
        <v>136</v>
      </c>
      <c r="F31" s="234" t="s">
        <v>601</v>
      </c>
      <c r="G31" s="234" t="s">
        <v>190</v>
      </c>
      <c r="H31" s="225" t="str">
        <f>VLOOKUP(E31,WD!$C$6:$K$102,3,FALSE())</f>
        <v>大細波</v>
      </c>
      <c r="I31" s="216" t="s">
        <v>601</v>
      </c>
      <c r="J31" s="225" t="str">
        <f>VLOOKUP(G31,WD!$C$6:$K$102,3,FALSE())</f>
        <v>RUNA</v>
      </c>
      <c r="K31" s="226">
        <v>0</v>
      </c>
      <c r="L31" s="226">
        <f>13+16</f>
        <v>29</v>
      </c>
      <c r="M31" s="226">
        <f>21+21</f>
        <v>42</v>
      </c>
      <c r="N31" s="226">
        <v>2</v>
      </c>
      <c r="O31" s="230" t="s">
        <v>1046</v>
      </c>
    </row>
    <row r="32" spans="2:30">
      <c r="B32" s="242">
        <v>27</v>
      </c>
      <c r="C32" s="232" t="s">
        <v>428</v>
      </c>
      <c r="D32" s="233">
        <v>3</v>
      </c>
      <c r="E32" s="234" t="s">
        <v>94</v>
      </c>
      <c r="F32" s="234" t="s">
        <v>601</v>
      </c>
      <c r="G32" s="234" t="s">
        <v>190</v>
      </c>
      <c r="H32" s="225" t="str">
        <f>VLOOKUP(E32,WD!$C$6:$K$102,3,FALSE())</f>
        <v>Reunion</v>
      </c>
      <c r="I32" s="216" t="s">
        <v>601</v>
      </c>
      <c r="J32" s="225" t="str">
        <f>VLOOKUP(G32,WD!$C$6:$K$102,3,FALSE())</f>
        <v>RUNA</v>
      </c>
      <c r="K32" s="226">
        <v>1</v>
      </c>
      <c r="L32" s="226">
        <f>21+20</f>
        <v>41</v>
      </c>
      <c r="M32" s="226">
        <f>19+22</f>
        <v>41</v>
      </c>
      <c r="N32" s="226">
        <v>1</v>
      </c>
      <c r="O32" s="230" t="s">
        <v>1047</v>
      </c>
    </row>
    <row r="33" spans="2:15">
      <c r="B33" s="242">
        <v>28</v>
      </c>
      <c r="C33" s="232" t="s">
        <v>428</v>
      </c>
      <c r="D33" s="246">
        <v>4</v>
      </c>
      <c r="E33" s="247" t="s">
        <v>136</v>
      </c>
      <c r="F33" s="234" t="s">
        <v>601</v>
      </c>
      <c r="G33" s="234" t="s">
        <v>641</v>
      </c>
      <c r="H33" s="225" t="str">
        <f>VLOOKUP(E33,WD!$C$6:$K$102,3,FALSE())</f>
        <v>大細波</v>
      </c>
      <c r="I33" s="216" t="s">
        <v>601</v>
      </c>
      <c r="J33" s="225" t="s">
        <v>884</v>
      </c>
      <c r="K33" s="226">
        <v>1</v>
      </c>
      <c r="L33" s="226">
        <f>17+21</f>
        <v>38</v>
      </c>
      <c r="M33" s="226">
        <f>21+18</f>
        <v>39</v>
      </c>
      <c r="N33" s="226">
        <v>1</v>
      </c>
      <c r="O33" s="230" t="s">
        <v>1048</v>
      </c>
    </row>
    <row r="34" spans="2:15">
      <c r="B34" s="240">
        <v>29</v>
      </c>
      <c r="C34" s="232" t="s">
        <v>428</v>
      </c>
      <c r="D34" s="246">
        <v>5</v>
      </c>
      <c r="E34" s="247" t="s">
        <v>190</v>
      </c>
      <c r="F34" s="234" t="s">
        <v>601</v>
      </c>
      <c r="G34" s="234" t="s">
        <v>641</v>
      </c>
      <c r="H34" s="225" t="str">
        <f>VLOOKUP(E34,WD!$C$6:$K$102,3,FALSE())</f>
        <v>RUNA</v>
      </c>
      <c r="I34" s="216" t="s">
        <v>601</v>
      </c>
      <c r="J34" s="225" t="s">
        <v>884</v>
      </c>
      <c r="K34" s="226">
        <v>1</v>
      </c>
      <c r="L34" s="226">
        <f>11+21</f>
        <v>32</v>
      </c>
      <c r="M34" s="226">
        <f>21+18</f>
        <v>39</v>
      </c>
      <c r="N34" s="226">
        <v>1</v>
      </c>
      <c r="O34" s="230" t="s">
        <v>1049</v>
      </c>
    </row>
    <row r="35" spans="2:15">
      <c r="B35" s="242">
        <v>30</v>
      </c>
      <c r="C35" s="232" t="s">
        <v>428</v>
      </c>
      <c r="D35" s="238">
        <v>6</v>
      </c>
      <c r="E35" s="250" t="s">
        <v>94</v>
      </c>
      <c r="F35" s="239" t="s">
        <v>601</v>
      </c>
      <c r="G35" s="239" t="s">
        <v>136</v>
      </c>
      <c r="H35" s="225" t="str">
        <f>VLOOKUP(E35,WD!$C$6:$K$102,3,FALSE())</f>
        <v>Reunion</v>
      </c>
      <c r="I35" s="216" t="s">
        <v>601</v>
      </c>
      <c r="J35" s="225" t="str">
        <f>VLOOKUP(G35,WD!$C$6:$K$102,3,FALSE())</f>
        <v>大細波</v>
      </c>
      <c r="K35" s="226">
        <v>2</v>
      </c>
      <c r="L35" s="226">
        <f>21+21</f>
        <v>42</v>
      </c>
      <c r="M35" s="226">
        <f>14+17</f>
        <v>31</v>
      </c>
      <c r="N35" s="226">
        <v>0</v>
      </c>
      <c r="O35" s="230" t="s">
        <v>1050</v>
      </c>
    </row>
    <row r="36" spans="2:15">
      <c r="B36" s="240">
        <v>31</v>
      </c>
      <c r="C36" s="222" t="s">
        <v>429</v>
      </c>
      <c r="D36" s="246">
        <v>1</v>
      </c>
      <c r="E36" s="221" t="s">
        <v>100</v>
      </c>
      <c r="F36" s="224" t="s">
        <v>601</v>
      </c>
      <c r="G36" s="224" t="s">
        <v>648</v>
      </c>
      <c r="H36" s="225" t="str">
        <f>VLOOKUP(E36,WD!$C$6:$K$102,3,FALSE())</f>
        <v>砂煲罌罉</v>
      </c>
      <c r="I36" s="216" t="s">
        <v>601</v>
      </c>
      <c r="J36" s="216" t="s">
        <v>910</v>
      </c>
      <c r="K36" s="226">
        <v>2</v>
      </c>
      <c r="L36" s="226">
        <f>21+21</f>
        <v>42</v>
      </c>
      <c r="M36" s="226">
        <f>16+12</f>
        <v>28</v>
      </c>
      <c r="N36" s="226">
        <v>0</v>
      </c>
      <c r="O36" s="230" t="s">
        <v>1051</v>
      </c>
    </row>
    <row r="37" spans="2:15">
      <c r="B37" s="242">
        <v>32</v>
      </c>
      <c r="C37" s="232" t="s">
        <v>429</v>
      </c>
      <c r="D37" s="246">
        <v>2</v>
      </c>
      <c r="E37" s="247" t="s">
        <v>130</v>
      </c>
      <c r="F37" s="234" t="s">
        <v>601</v>
      </c>
      <c r="G37" s="234" t="s">
        <v>196</v>
      </c>
      <c r="H37" s="225" t="str">
        <f>VLOOKUP(E37,WD!$C$6:$K$102,3,FALSE())</f>
        <v>ALPS - Pillarsports (B)</v>
      </c>
      <c r="I37" s="216" t="s">
        <v>601</v>
      </c>
      <c r="J37" s="225" t="str">
        <f>VLOOKUP(G37,WD!$C$6:$K$102,3,FALSE())</f>
        <v>S.potato</v>
      </c>
      <c r="K37" s="226">
        <v>2</v>
      </c>
      <c r="L37" s="226">
        <v>0</v>
      </c>
      <c r="M37" s="226">
        <v>0</v>
      </c>
      <c r="N37" s="226">
        <v>0</v>
      </c>
      <c r="O37" s="230" t="s">
        <v>1286</v>
      </c>
    </row>
    <row r="38" spans="2:15">
      <c r="B38" s="242">
        <v>33</v>
      </c>
      <c r="C38" s="232" t="s">
        <v>429</v>
      </c>
      <c r="D38" s="233">
        <v>3</v>
      </c>
      <c r="E38" s="234" t="s">
        <v>100</v>
      </c>
      <c r="F38" s="234" t="s">
        <v>601</v>
      </c>
      <c r="G38" s="234" t="s">
        <v>196</v>
      </c>
      <c r="H38" s="225" t="str">
        <f>VLOOKUP(E38,WD!$C$6:$K$102,3,FALSE())</f>
        <v>砂煲罌罉</v>
      </c>
      <c r="I38" s="216" t="s">
        <v>601</v>
      </c>
      <c r="J38" s="225" t="str">
        <f>VLOOKUP(G38,WD!$C$6:$K$102,3,FALSE())</f>
        <v>S.potato</v>
      </c>
      <c r="K38" s="226">
        <v>2</v>
      </c>
      <c r="L38" s="226">
        <v>0</v>
      </c>
      <c r="M38" s="226">
        <v>0</v>
      </c>
      <c r="N38" s="226">
        <v>0</v>
      </c>
      <c r="O38" s="230" t="s">
        <v>1286</v>
      </c>
    </row>
    <row r="39" spans="2:15">
      <c r="B39" s="242">
        <v>34</v>
      </c>
      <c r="C39" s="232" t="s">
        <v>429</v>
      </c>
      <c r="D39" s="246">
        <v>4</v>
      </c>
      <c r="E39" s="247" t="s">
        <v>130</v>
      </c>
      <c r="F39" s="234" t="s">
        <v>601</v>
      </c>
      <c r="G39" s="234" t="s">
        <v>648</v>
      </c>
      <c r="H39" s="225" t="str">
        <f>VLOOKUP(E39,WD!$C$6:$K$102,3,FALSE())</f>
        <v>ALPS - Pillarsports (B)</v>
      </c>
      <c r="I39" s="216" t="s">
        <v>601</v>
      </c>
      <c r="J39" s="216" t="s">
        <v>910</v>
      </c>
      <c r="K39" s="226">
        <v>2</v>
      </c>
      <c r="L39" s="226">
        <f>21+21</f>
        <v>42</v>
      </c>
      <c r="M39" s="226">
        <f>14+7</f>
        <v>21</v>
      </c>
      <c r="N39" s="226">
        <v>0</v>
      </c>
      <c r="O39" s="230" t="s">
        <v>1052</v>
      </c>
    </row>
    <row r="40" spans="2:15">
      <c r="B40" s="240">
        <v>35</v>
      </c>
      <c r="C40" s="232" t="s">
        <v>429</v>
      </c>
      <c r="D40" s="246">
        <v>5</v>
      </c>
      <c r="E40" s="247" t="s">
        <v>196</v>
      </c>
      <c r="F40" s="234" t="s">
        <v>601</v>
      </c>
      <c r="G40" s="234" t="s">
        <v>648</v>
      </c>
      <c r="H40" s="225" t="str">
        <f>VLOOKUP(E40,WD!$C$6:$K$102,3,FALSE())</f>
        <v>S.potato</v>
      </c>
      <c r="I40" s="216" t="s">
        <v>601</v>
      </c>
      <c r="J40" s="216" t="s">
        <v>910</v>
      </c>
      <c r="K40" s="226">
        <v>0</v>
      </c>
      <c r="L40" s="226">
        <v>0</v>
      </c>
      <c r="M40" s="226">
        <v>0</v>
      </c>
      <c r="N40" s="226">
        <v>2</v>
      </c>
      <c r="O40" s="230" t="s">
        <v>1286</v>
      </c>
    </row>
    <row r="41" spans="2:15">
      <c r="B41" s="242">
        <v>36</v>
      </c>
      <c r="C41" s="237" t="s">
        <v>429</v>
      </c>
      <c r="D41" s="238">
        <v>6</v>
      </c>
      <c r="E41" s="250" t="s">
        <v>100</v>
      </c>
      <c r="F41" s="239" t="s">
        <v>601</v>
      </c>
      <c r="G41" s="239" t="s">
        <v>130</v>
      </c>
      <c r="H41" s="225" t="str">
        <f>VLOOKUP(E41,WD!$C$6:$K$102,3,FALSE())</f>
        <v>砂煲罌罉</v>
      </c>
      <c r="I41" s="216" t="s">
        <v>601</v>
      </c>
      <c r="J41" s="225" t="str">
        <f>VLOOKUP(G41,WD!$C$6:$K$102,3,FALSE())</f>
        <v>ALPS - Pillarsports (B)</v>
      </c>
      <c r="K41" s="226">
        <v>1</v>
      </c>
      <c r="L41" s="226">
        <f>21+15</f>
        <v>36</v>
      </c>
      <c r="M41" s="226">
        <f>19+21</f>
        <v>40</v>
      </c>
      <c r="N41" s="226">
        <v>1</v>
      </c>
      <c r="O41" s="230" t="s">
        <v>1053</v>
      </c>
    </row>
    <row r="42" spans="2:15">
      <c r="B42" s="240">
        <v>37</v>
      </c>
      <c r="C42" s="251" t="s">
        <v>430</v>
      </c>
      <c r="D42" s="246">
        <v>1</v>
      </c>
      <c r="E42" s="221" t="s">
        <v>106</v>
      </c>
      <c r="F42" s="224" t="s">
        <v>601</v>
      </c>
      <c r="G42" s="224" t="s">
        <v>655</v>
      </c>
      <c r="H42" s="225" t="str">
        <f>VLOOKUP(E42,WD!$C$6:$K$102,3,FALSE())</f>
        <v>SURVIVOR</v>
      </c>
      <c r="I42" s="216" t="s">
        <v>601</v>
      </c>
      <c r="J42" s="216" t="s">
        <v>889</v>
      </c>
      <c r="K42" s="226">
        <v>2</v>
      </c>
      <c r="L42" s="226">
        <v>0</v>
      </c>
      <c r="M42" s="226">
        <v>0</v>
      </c>
      <c r="N42" s="226">
        <v>0</v>
      </c>
      <c r="O42" s="230" t="s">
        <v>1054</v>
      </c>
    </row>
    <row r="43" spans="2:15">
      <c r="B43" s="242">
        <v>38</v>
      </c>
      <c r="C43" s="251" t="s">
        <v>430</v>
      </c>
      <c r="D43" s="246">
        <v>2</v>
      </c>
      <c r="E43" s="247" t="s">
        <v>124</v>
      </c>
      <c r="F43" s="234" t="s">
        <v>601</v>
      </c>
      <c r="G43" s="234" t="s">
        <v>202</v>
      </c>
      <c r="H43" s="225" t="str">
        <f>VLOOKUP(E43,WD!$C$6:$K$102,3,FALSE())</f>
        <v>求奇</v>
      </c>
      <c r="I43" s="216" t="s">
        <v>601</v>
      </c>
      <c r="J43" s="225" t="str">
        <f>VLOOKUP(G43,WD!$C$6:$K$102,3,FALSE())</f>
        <v>估里吾島</v>
      </c>
      <c r="K43" s="226">
        <v>0</v>
      </c>
      <c r="L43" s="226">
        <v>0</v>
      </c>
      <c r="M43" s="226">
        <v>0</v>
      </c>
      <c r="N43" s="226">
        <v>2</v>
      </c>
      <c r="O43" s="198" t="s">
        <v>1055</v>
      </c>
    </row>
    <row r="44" spans="2:15">
      <c r="B44" s="242">
        <v>39</v>
      </c>
      <c r="C44" s="232" t="s">
        <v>430</v>
      </c>
      <c r="D44" s="233">
        <v>3</v>
      </c>
      <c r="E44" s="234" t="s">
        <v>106</v>
      </c>
      <c r="F44" s="234" t="s">
        <v>601</v>
      </c>
      <c r="G44" s="234" t="s">
        <v>202</v>
      </c>
      <c r="H44" s="225" t="str">
        <f>VLOOKUP(E44,WD!$C$6:$K$102,3,FALSE())</f>
        <v>SURVIVOR</v>
      </c>
      <c r="I44" s="216" t="s">
        <v>601</v>
      </c>
      <c r="J44" s="225" t="str">
        <f>VLOOKUP(G44,WD!$C$6:$K$102,3,FALSE())</f>
        <v>估里吾島</v>
      </c>
      <c r="K44" s="226">
        <v>1</v>
      </c>
      <c r="L44" s="226">
        <f>17+21</f>
        <v>38</v>
      </c>
      <c r="M44" s="226">
        <f>21+17</f>
        <v>38</v>
      </c>
      <c r="N44" s="226">
        <v>1</v>
      </c>
      <c r="O44" s="230" t="s">
        <v>1056</v>
      </c>
    </row>
    <row r="45" spans="2:15">
      <c r="B45" s="242">
        <v>40</v>
      </c>
      <c r="C45" s="251" t="s">
        <v>430</v>
      </c>
      <c r="D45" s="246">
        <v>4</v>
      </c>
      <c r="E45" s="247" t="s">
        <v>124</v>
      </c>
      <c r="F45" s="234" t="s">
        <v>601</v>
      </c>
      <c r="G45" s="234" t="s">
        <v>655</v>
      </c>
      <c r="H45" s="225" t="str">
        <f>VLOOKUP(E45,WD!$C$6:$K$102,3,FALSE())</f>
        <v>求奇</v>
      </c>
      <c r="I45" s="216" t="s">
        <v>601</v>
      </c>
      <c r="J45" s="216" t="s">
        <v>889</v>
      </c>
      <c r="K45" s="226">
        <v>0</v>
      </c>
      <c r="L45" s="226">
        <v>0</v>
      </c>
      <c r="M45" s="226">
        <v>0</v>
      </c>
      <c r="N45" s="226">
        <v>0</v>
      </c>
      <c r="O45" s="230" t="s">
        <v>1057</v>
      </c>
    </row>
    <row r="46" spans="2:15">
      <c r="B46" s="240">
        <v>41</v>
      </c>
      <c r="C46" s="251" t="s">
        <v>430</v>
      </c>
      <c r="D46" s="246">
        <v>5</v>
      </c>
      <c r="E46" s="247" t="s">
        <v>202</v>
      </c>
      <c r="F46" s="234" t="s">
        <v>601</v>
      </c>
      <c r="G46" s="234" t="s">
        <v>655</v>
      </c>
      <c r="H46" s="225" t="str">
        <f>VLOOKUP(E46,WD!$C$6:$K$102,3,FALSE())</f>
        <v>估里吾島</v>
      </c>
      <c r="I46" s="216" t="s">
        <v>601</v>
      </c>
      <c r="J46" s="216" t="s">
        <v>889</v>
      </c>
      <c r="K46" s="226">
        <v>2</v>
      </c>
      <c r="L46" s="226">
        <v>0</v>
      </c>
      <c r="M46" s="226">
        <v>0</v>
      </c>
      <c r="N46" s="226">
        <v>0</v>
      </c>
      <c r="O46" s="230" t="s">
        <v>1054</v>
      </c>
    </row>
    <row r="47" spans="2:15">
      <c r="B47" s="242">
        <v>42</v>
      </c>
      <c r="C47" s="237" t="s">
        <v>430</v>
      </c>
      <c r="D47" s="238">
        <v>6</v>
      </c>
      <c r="E47" s="250" t="s">
        <v>106</v>
      </c>
      <c r="F47" s="239" t="s">
        <v>601</v>
      </c>
      <c r="G47" s="239" t="s">
        <v>124</v>
      </c>
      <c r="H47" s="225" t="str">
        <f>VLOOKUP(E47,WD!$C$6:$K$102,3,FALSE())</f>
        <v>SURVIVOR</v>
      </c>
      <c r="I47" s="216" t="s">
        <v>601</v>
      </c>
      <c r="J47" s="225" t="str">
        <f>VLOOKUP(G47,WD!$C$6:$K$102,3,FALSE())</f>
        <v>求奇</v>
      </c>
      <c r="K47" s="226">
        <v>2</v>
      </c>
      <c r="L47" s="226">
        <v>0</v>
      </c>
      <c r="M47" s="226">
        <v>0</v>
      </c>
      <c r="N47" s="226">
        <v>0</v>
      </c>
      <c r="O47" s="198" t="s">
        <v>1055</v>
      </c>
    </row>
    <row r="48" spans="2:15">
      <c r="B48" s="240">
        <v>43</v>
      </c>
      <c r="C48" s="251" t="s">
        <v>431</v>
      </c>
      <c r="D48" s="246">
        <v>1</v>
      </c>
      <c r="E48" s="247" t="s">
        <v>112</v>
      </c>
      <c r="F48" s="234" t="s">
        <v>601</v>
      </c>
      <c r="G48" s="234" t="s">
        <v>661</v>
      </c>
      <c r="H48" s="225" t="str">
        <f>VLOOKUP(E48,WD!$C$6:$K$102,3,FALSE())</f>
        <v>The Gale</v>
      </c>
      <c r="I48" s="216" t="s">
        <v>601</v>
      </c>
      <c r="J48" s="216" t="s">
        <v>786</v>
      </c>
      <c r="K48" s="226">
        <v>2</v>
      </c>
      <c r="L48" s="226">
        <f>21+21</f>
        <v>42</v>
      </c>
      <c r="M48" s="226">
        <f>19+10</f>
        <v>29</v>
      </c>
      <c r="N48" s="226">
        <v>0</v>
      </c>
      <c r="O48" s="230" t="s">
        <v>1036</v>
      </c>
    </row>
    <row r="49" spans="2:15">
      <c r="B49" s="242">
        <v>44</v>
      </c>
      <c r="C49" s="251" t="s">
        <v>431</v>
      </c>
      <c r="D49" s="246">
        <v>2</v>
      </c>
      <c r="E49" s="247" t="s">
        <v>118</v>
      </c>
      <c r="F49" s="234" t="s">
        <v>601</v>
      </c>
      <c r="G49" s="234" t="s">
        <v>209</v>
      </c>
      <c r="H49" s="225" t="str">
        <f>VLOOKUP(E49,WD!$C$6:$K$102,3,FALSE())</f>
        <v>葵青-啫喱冰冰</v>
      </c>
      <c r="I49" s="216" t="s">
        <v>601</v>
      </c>
      <c r="J49" s="225" t="str">
        <f>VLOOKUP(G49,WD!$C$6:$K$102,3,FALSE())</f>
        <v>淺水灣三寶</v>
      </c>
      <c r="K49" s="226">
        <v>2</v>
      </c>
      <c r="L49" s="226">
        <f>21+21</f>
        <v>42</v>
      </c>
      <c r="M49" s="226">
        <f>10+7</f>
        <v>17</v>
      </c>
      <c r="N49" s="226">
        <v>0</v>
      </c>
      <c r="O49" s="230" t="s">
        <v>1058</v>
      </c>
    </row>
    <row r="50" spans="2:15">
      <c r="B50" s="242">
        <v>45</v>
      </c>
      <c r="C50" s="232" t="s">
        <v>431</v>
      </c>
      <c r="D50" s="233">
        <v>3</v>
      </c>
      <c r="E50" s="234" t="s">
        <v>112</v>
      </c>
      <c r="F50" s="234" t="s">
        <v>601</v>
      </c>
      <c r="G50" s="234" t="s">
        <v>209</v>
      </c>
      <c r="H50" s="225" t="str">
        <f>VLOOKUP(E50,WD!$C$6:$K$102,3,FALSE())</f>
        <v>The Gale</v>
      </c>
      <c r="I50" s="216" t="s">
        <v>601</v>
      </c>
      <c r="J50" s="225" t="str">
        <f>VLOOKUP(G50,WD!$C$6:$K$102,3,FALSE())</f>
        <v>淺水灣三寶</v>
      </c>
      <c r="K50" s="226">
        <v>0</v>
      </c>
      <c r="L50" s="226">
        <f>10+15</f>
        <v>25</v>
      </c>
      <c r="M50" s="226">
        <f>21+21</f>
        <v>42</v>
      </c>
      <c r="N50" s="226">
        <v>0</v>
      </c>
      <c r="O50" s="230" t="s">
        <v>609</v>
      </c>
    </row>
    <row r="51" spans="2:15">
      <c r="B51" s="242">
        <v>46</v>
      </c>
      <c r="C51" s="251" t="s">
        <v>431</v>
      </c>
      <c r="D51" s="246">
        <v>4</v>
      </c>
      <c r="E51" s="247" t="s">
        <v>118</v>
      </c>
      <c r="F51" s="234" t="s">
        <v>601</v>
      </c>
      <c r="G51" s="234" t="s">
        <v>661</v>
      </c>
      <c r="H51" s="225" t="str">
        <f>VLOOKUP(E51,WD!$C$6:$K$102,3,FALSE())</f>
        <v>葵青-啫喱冰冰</v>
      </c>
      <c r="I51" s="216" t="s">
        <v>601</v>
      </c>
      <c r="J51" s="216" t="s">
        <v>786</v>
      </c>
      <c r="K51" s="226">
        <v>2</v>
      </c>
      <c r="L51" s="226">
        <f>21+21</f>
        <v>42</v>
      </c>
      <c r="M51" s="226">
        <f>14+13</f>
        <v>27</v>
      </c>
      <c r="N51" s="226">
        <v>0</v>
      </c>
      <c r="O51" s="230" t="s">
        <v>1059</v>
      </c>
    </row>
    <row r="52" spans="2:15">
      <c r="B52" s="240">
        <v>47</v>
      </c>
      <c r="C52" s="251" t="s">
        <v>431</v>
      </c>
      <c r="D52" s="246">
        <v>5</v>
      </c>
      <c r="E52" s="247" t="s">
        <v>209</v>
      </c>
      <c r="F52" s="234" t="s">
        <v>601</v>
      </c>
      <c r="G52" s="234" t="s">
        <v>661</v>
      </c>
      <c r="H52" s="225" t="str">
        <f>VLOOKUP(E52,WD!$C$6:$K$102,3,FALSE())</f>
        <v>淺水灣三寶</v>
      </c>
      <c r="I52" s="216" t="s">
        <v>601</v>
      </c>
      <c r="J52" s="216" t="s">
        <v>786</v>
      </c>
      <c r="K52" s="226">
        <v>2</v>
      </c>
      <c r="L52" s="226">
        <f>21+21</f>
        <v>42</v>
      </c>
      <c r="M52" s="226">
        <f>15+16</f>
        <v>31</v>
      </c>
      <c r="N52" s="226">
        <v>0</v>
      </c>
      <c r="O52" s="230" t="s">
        <v>1060</v>
      </c>
    </row>
    <row r="53" spans="2:15">
      <c r="B53" s="242">
        <v>48</v>
      </c>
      <c r="C53" s="252" t="s">
        <v>431</v>
      </c>
      <c r="D53" s="238">
        <v>6</v>
      </c>
      <c r="E53" s="250" t="s">
        <v>112</v>
      </c>
      <c r="F53" s="239" t="s">
        <v>601</v>
      </c>
      <c r="G53" s="239" t="s">
        <v>118</v>
      </c>
      <c r="H53" s="225" t="str">
        <f>VLOOKUP(E53,WD!$C$6:$K$102,3,FALSE())</f>
        <v>The Gale</v>
      </c>
      <c r="I53" s="216" t="s">
        <v>601</v>
      </c>
      <c r="J53" s="225" t="str">
        <f>VLOOKUP(G53,WD!$C$6:$K$102,3,FALSE())</f>
        <v>葵青-啫喱冰冰</v>
      </c>
      <c r="K53" s="226">
        <v>0</v>
      </c>
      <c r="L53" s="226">
        <f>12+9</f>
        <v>21</v>
      </c>
      <c r="M53" s="226">
        <f>21+21</f>
        <v>42</v>
      </c>
      <c r="N53" s="226">
        <v>2</v>
      </c>
      <c r="O53" s="230" t="s">
        <v>1061</v>
      </c>
    </row>
  </sheetData>
  <mergeCells count="4">
    <mergeCell ref="C4:D4"/>
    <mergeCell ref="E4:G4"/>
    <mergeCell ref="C5:D5"/>
    <mergeCell ref="E5:G5"/>
  </mergeCells>
  <printOptions horizontalCentered="1" verticalCentered="1"/>
  <pageMargins left="0.74791666666666701" right="0.74791666666666701" top="0.52013888888888904" bottom="0.54027777777777797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15</vt:i4>
      </vt:variant>
    </vt:vector>
  </HeadingPairs>
  <TitlesOfParts>
    <vt:vector size="25" baseType="lpstr">
      <vt:lpstr>須知</vt:lpstr>
      <vt:lpstr>MD</vt:lpstr>
      <vt:lpstr>MQTFormat</vt:lpstr>
      <vt:lpstr>MFormat</vt:lpstr>
      <vt:lpstr>男子賽程</vt:lpstr>
      <vt:lpstr>WD</vt:lpstr>
      <vt:lpstr>WQTFormat</vt:lpstr>
      <vt:lpstr>WFormat</vt:lpstr>
      <vt:lpstr>女子賽程</vt:lpstr>
      <vt:lpstr>TT</vt:lpstr>
      <vt:lpstr>MD!_FilterDatabase</vt:lpstr>
      <vt:lpstr>WD!_FilterDatabase</vt:lpstr>
      <vt:lpstr>Excel_BuiltIn__FilterDatabase</vt:lpstr>
      <vt:lpstr>MQTFormat!Excel_BuiltIn_Print_Area</vt:lpstr>
      <vt:lpstr>WQTFormat!Excel_BuiltIn_Print_Area</vt:lpstr>
      <vt:lpstr>MD!Print_Area</vt:lpstr>
      <vt:lpstr>MFormat!Print_Area</vt:lpstr>
      <vt:lpstr>MQTFormat!Print_Area</vt:lpstr>
      <vt:lpstr>TT!Print_Area</vt:lpstr>
      <vt:lpstr>WD!Print_Area</vt:lpstr>
      <vt:lpstr>WFormat!Print_Area</vt:lpstr>
      <vt:lpstr>WQTFormat!Print_Area</vt:lpstr>
      <vt:lpstr>女子賽程!Print_Area</vt:lpstr>
      <vt:lpstr>男子賽程!Print_Area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Ronson</dc:creator>
  <dc:description/>
  <cp:lastModifiedBy>VBAHK_V-ba2</cp:lastModifiedBy>
  <cp:revision>51</cp:revision>
  <cp:lastPrinted>2021-11-16T10:06:33Z</cp:lastPrinted>
  <dcterms:created xsi:type="dcterms:W3CDTF">2018-10-23T11:40:37Z</dcterms:created>
  <dcterms:modified xsi:type="dcterms:W3CDTF">2021-12-31T02:01:40Z</dcterms:modified>
  <dc:language>zh-TW</dc:language>
</cp:coreProperties>
</file>