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tabRatio="852" firstSheet="5" activeTab="10"/>
  </bookViews>
  <sheets>
    <sheet name="須知" sheetId="1" r:id="rId1"/>
    <sheet name="MD" sheetId="2" r:id="rId2"/>
    <sheet name="MAFormat" sheetId="3" r:id="rId3"/>
    <sheet name="男甲賽程" sheetId="4" r:id="rId4"/>
    <sheet name="男甲最終排名" sheetId="5" r:id="rId5"/>
    <sheet name="MQTFormat" sheetId="6" r:id="rId6"/>
    <sheet name="MBFormat" sheetId="7" r:id="rId7"/>
    <sheet name="男乙賽程" sheetId="8" r:id="rId8"/>
    <sheet name="男乙最終排名" sheetId="9" r:id="rId9"/>
    <sheet name="WD" sheetId="10" r:id="rId10"/>
    <sheet name="WAFormat" sheetId="11" r:id="rId11"/>
    <sheet name="女甲賽程" sheetId="12" r:id="rId12"/>
    <sheet name="女甲最終排名" sheetId="13" r:id="rId13"/>
    <sheet name="WBFormat" sheetId="14" r:id="rId14"/>
    <sheet name="女乙賽程" sheetId="15" r:id="rId15"/>
    <sheet name="女乙最終排名" sheetId="16" r:id="rId16"/>
    <sheet name="TT" sheetId="17" r:id="rId17"/>
  </sheets>
  <definedNames>
    <definedName name="Excel_BuiltIn__FilterDatabase" localSheetId="1">'MD'!$E$5:$L$5</definedName>
    <definedName name="Excel_BuiltIn__FilterDatabase" localSheetId="9">'WD'!$E$5:$L$5</definedName>
    <definedName name="Excel_BuiltIn__FilterDatabase" localSheetId="11">'女甲賽程'!$R$6:$Y$6</definedName>
    <definedName name="Excel_BuiltIn__FilterDatabase" localSheetId="3">'男甲賽程'!$R$6:$Y$6</definedName>
    <definedName name="Excel_BuiltIn__FilterDatabase">'WD'!$A$5:$U$5</definedName>
    <definedName name="Excel_BuiltIn_Print_Area" localSheetId="2">'MAFormat'!$B$1:$F$40</definedName>
    <definedName name="Excel_BuiltIn_Print_Area" localSheetId="6">'MBFormat'!$A$1:$N$115</definedName>
    <definedName name="Excel_BuiltIn_Print_Area" localSheetId="1">'MD'!$B$1:$O$59</definedName>
    <definedName name="Excel_BuiltIn_Print_Area" localSheetId="5">'MQTFormat'!$A$1:$N$25</definedName>
    <definedName name="Excel_BuiltIn_Print_Area" localSheetId="16">'TT'!$A$125:$O$245</definedName>
    <definedName name="Excel_BuiltIn_Print_Area" localSheetId="10">'WAFormat'!$B$1:$H$48</definedName>
    <definedName name="Excel_BuiltIn_Print_Area" localSheetId="13">'WBFormat'!$B$1:$L$80</definedName>
    <definedName name="Excel_BuiltIn_Print_Area" localSheetId="9">'WD'!$A$1:$O$46</definedName>
    <definedName name="Excel_BuiltIn_Print_Area" localSheetId="14">'女乙賽程'!$B$1:$O$41</definedName>
    <definedName name="Excel_BuiltIn_Print_Area" localSheetId="11">'女甲賽程'!$B$1:$O$34</definedName>
    <definedName name="Excel_BuiltIn_Print_Area" localSheetId="7">'男乙賽程'!$C$1:$O$55</definedName>
    <definedName name="Excel_BuiltIn_Print_Area" localSheetId="3">'男甲賽程'!$B$1:$O$34</definedName>
    <definedName name="Excel_BuiltIn_Print_Area" localSheetId="0">'須知'!$A$1:$B$58</definedName>
    <definedName name="_xlnm.Print_Area" localSheetId="2">'MAFormat'!$B$1:$F$40</definedName>
    <definedName name="_xlnm.Print_Area" localSheetId="6">'MBFormat'!$A$1:$N$115</definedName>
    <definedName name="_xlnm.Print_Area" localSheetId="1">'MD'!$B$1:$O$59</definedName>
    <definedName name="_xlnm.Print_Area" localSheetId="5">'MQTFormat'!$A$1:$N$25</definedName>
    <definedName name="_xlnm.Print_Area" localSheetId="16">'TT'!$A$125:$O$245</definedName>
    <definedName name="_xlnm.Print_Area" localSheetId="10">'WAFormat'!$B$1:$H$48</definedName>
    <definedName name="_xlnm.Print_Area" localSheetId="13">'WBFormat'!$B$1:$L$80</definedName>
    <definedName name="_xlnm.Print_Area" localSheetId="9">'WD'!$A$1:$O$46</definedName>
    <definedName name="_xlnm.Print_Area" localSheetId="14">'女乙賽程'!$B$1:$O$41</definedName>
    <definedName name="_xlnm.Print_Area" localSheetId="11">'女甲賽程'!$B$1:$O$34</definedName>
    <definedName name="_xlnm.Print_Area" localSheetId="7">'男乙賽程'!$C$1:$O$55</definedName>
    <definedName name="_xlnm.Print_Area" localSheetId="3">'男甲賽程'!$B$1:$O$34</definedName>
    <definedName name="_xlnm.Print_Area" localSheetId="0">'須知'!$A$1:$B$58</definedName>
  </definedNames>
  <calcPr fullCalcOnLoad="1"/>
</workbook>
</file>

<file path=xl/sharedStrings.xml><?xml version="1.0" encoding="utf-8"?>
<sst xmlns="http://schemas.openxmlformats.org/spreadsheetml/2006/main" count="3589" uniqueCount="1226">
  <si>
    <t xml:space="preserve"> </t>
  </si>
  <si>
    <t>香港沙灘排球巡迴賽 2021 黃金站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</si>
  <si>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</si>
  <si>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</si>
  <si>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</si>
  <si>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</si>
  <si>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</si>
  <si>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</si>
  <si>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</si>
  <si>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</si>
  <si>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男子甲組網高2.43米，男子乙組網高2.35米，女子甲組網高2.24米，女子乙組網高2.20米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</si>
  <si>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</si>
  <si>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</si>
  <si>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</si>
  <si>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</si>
  <si>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每隊每局一次暫停,限時30秒,只有隊長方可要求暫停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</si>
  <si>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</si>
  <si>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</si>
  <si>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</si>
  <si>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</si>
  <si>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</si>
  <si>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</si>
  <si>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</si>
  <si>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</si>
  <si>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</si>
  <si>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</si>
  <si>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</si>
  <si>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</si>
  <si>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</si>
  <si>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</si>
  <si>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</si>
  <si>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</si>
  <si>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</si>
  <si>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</si>
  <si>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</si>
  <si>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</si>
  <si>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</si>
  <si>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</si>
  <si>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</si>
  <si>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</si>
  <si>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</si>
  <si>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</si>
  <si>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</si>
  <si>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</si>
  <si>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</si>
  <si>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</si>
  <si>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</si>
  <si>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6"/>
        <color indexed="12"/>
        <rFont val="微軟正黑體"/>
        <family val="2"/>
      </rPr>
      <t>種子隊名單</t>
    </r>
    <r>
      <rPr>
        <b/>
        <sz val="16"/>
        <color indexed="12"/>
        <rFont val="Calibri"/>
        <family val="2"/>
      </rPr>
      <t>(</t>
    </r>
    <r>
      <rPr>
        <b/>
        <sz val="16"/>
        <color indexed="12"/>
        <rFont val="微軟正黑體"/>
        <family val="2"/>
      </rPr>
      <t>表二</t>
    </r>
    <r>
      <rPr>
        <b/>
        <sz val="16"/>
        <color indexed="12"/>
        <rFont val="Calibri"/>
        <family val="2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</si>
  <si>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</si>
  <si>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</si>
  <si>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</si>
  <si>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</si>
  <si>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</si>
  <si>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</si>
  <si>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</si>
  <si>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</si>
  <si>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</si>
  <si>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</si>
  <si>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</si>
  <si>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1</t>
    </r>
  </si>
  <si>
    <t>註冊編號</t>
  </si>
  <si>
    <t>Points</t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</si>
  <si>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2</t>
    </r>
  </si>
  <si>
    <t>備註</t>
  </si>
  <si>
    <t>2R</t>
  </si>
  <si>
    <t>黃俊偉</t>
  </si>
  <si>
    <t>M112</t>
  </si>
  <si>
    <t>黃冠邦</t>
  </si>
  <si>
    <t>M202</t>
  </si>
  <si>
    <t>AA1</t>
  </si>
  <si>
    <t>ALPS LC</t>
  </si>
  <si>
    <t>張綽航</t>
  </si>
  <si>
    <t>M639</t>
  </si>
  <si>
    <t>李俊傑</t>
  </si>
  <si>
    <t>M676</t>
  </si>
  <si>
    <t>AA2</t>
  </si>
  <si>
    <r>
      <rPr>
        <sz val="14"/>
        <rFont val="Calibri"/>
        <family val="2"/>
      </rPr>
      <t>ALPS-</t>
    </r>
    <r>
      <rPr>
        <sz val="14"/>
        <rFont val="Microsoft YaHei"/>
        <family val="2"/>
      </rPr>
      <t>米肥落去</t>
    </r>
  </si>
  <si>
    <t>饒明淦</t>
  </si>
  <si>
    <t>M751</t>
  </si>
  <si>
    <t>劉卓然</t>
  </si>
  <si>
    <t>M934</t>
  </si>
  <si>
    <t>AA3</t>
  </si>
  <si>
    <t>ALPS-KUZ</t>
  </si>
  <si>
    <t>古顯庭</t>
  </si>
  <si>
    <t>M331</t>
  </si>
  <si>
    <t>陳煒傑</t>
  </si>
  <si>
    <t>M936</t>
  </si>
  <si>
    <t>AA4</t>
  </si>
  <si>
    <t>ALPS - TANGWO</t>
  </si>
  <si>
    <t>黃嘉潤</t>
  </si>
  <si>
    <t>M556</t>
  </si>
  <si>
    <t>謝鍵泓</t>
  </si>
  <si>
    <t>M762</t>
  </si>
  <si>
    <t>AA5</t>
  </si>
  <si>
    <t>SCAA LL</t>
  </si>
  <si>
    <t>徐錦龍</t>
  </si>
  <si>
    <t>M323</t>
  </si>
  <si>
    <t>莊紀來</t>
  </si>
  <si>
    <t>M229</t>
  </si>
  <si>
    <t>AA6</t>
  </si>
  <si>
    <r>
      <rPr>
        <sz val="14"/>
        <rFont val="Calibri"/>
        <family val="2"/>
      </rPr>
      <t xml:space="preserve">SCAA - </t>
    </r>
    <r>
      <rPr>
        <sz val="14"/>
        <rFont val="Microsoft YaHei"/>
        <family val="2"/>
      </rPr>
      <t>文龍</t>
    </r>
  </si>
  <si>
    <t>楊博文</t>
  </si>
  <si>
    <t>M337</t>
  </si>
  <si>
    <t>林惠龍</t>
  </si>
  <si>
    <t>M744</t>
  </si>
  <si>
    <t>AA7</t>
  </si>
  <si>
    <t>仁濟</t>
  </si>
  <si>
    <t>林琪豐</t>
  </si>
  <si>
    <t>M624</t>
  </si>
  <si>
    <t>王沛林</t>
  </si>
  <si>
    <t>M227</t>
  </si>
  <si>
    <t>AA8</t>
  </si>
  <si>
    <t>SKTL</t>
  </si>
  <si>
    <t>廖樞麒</t>
  </si>
  <si>
    <t>M552</t>
  </si>
  <si>
    <t>余天樂</t>
  </si>
  <si>
    <t>M342</t>
  </si>
  <si>
    <t>A1</t>
  </si>
  <si>
    <t>我要買恒馳</t>
  </si>
  <si>
    <t>李宇煌</t>
  </si>
  <si>
    <t>M330</t>
  </si>
  <si>
    <t>葉志誠</t>
  </si>
  <si>
    <t>M802</t>
  </si>
  <si>
    <t>B1</t>
  </si>
  <si>
    <t>ALPS HandShake</t>
  </si>
  <si>
    <t>簡詩恆</t>
  </si>
  <si>
    <t>M891</t>
  </si>
  <si>
    <t>黃震</t>
  </si>
  <si>
    <t>M907</t>
  </si>
  <si>
    <t>C1</t>
  </si>
  <si>
    <t>Alps-Cheap Drink</t>
  </si>
  <si>
    <t>陳樂恆</t>
  </si>
  <si>
    <t>M670</t>
  </si>
  <si>
    <t>陳嘉浩</t>
  </si>
  <si>
    <t>M750</t>
  </si>
  <si>
    <t>D1</t>
  </si>
  <si>
    <t>Ivan &amp; Pak</t>
  </si>
  <si>
    <t>雲維華</t>
  </si>
  <si>
    <t>M798</t>
  </si>
  <si>
    <t>林栢均</t>
  </si>
  <si>
    <t>M179</t>
  </si>
  <si>
    <t>E1</t>
  </si>
  <si>
    <t>熱情的麻鷹</t>
  </si>
  <si>
    <t>李健禧</t>
  </si>
  <si>
    <t>M843</t>
  </si>
  <si>
    <t>張永暉</t>
  </si>
  <si>
    <t>M887</t>
  </si>
  <si>
    <t>F1</t>
  </si>
  <si>
    <t>SBDW</t>
  </si>
  <si>
    <t>蔡偉傑</t>
  </si>
  <si>
    <t>M205</t>
  </si>
  <si>
    <t>王龍</t>
  </si>
  <si>
    <t>M561</t>
  </si>
  <si>
    <t>G1</t>
  </si>
  <si>
    <t>G1,H1</t>
  </si>
  <si>
    <t>SLD</t>
  </si>
  <si>
    <t>張海鷹</t>
  </si>
  <si>
    <t>M103</t>
  </si>
  <si>
    <t>丘至剛</t>
  </si>
  <si>
    <t>M550</t>
  </si>
  <si>
    <t>H1</t>
  </si>
  <si>
    <r>
      <rPr>
        <sz val="14"/>
        <rFont val="Calibri"/>
        <family val="2"/>
      </rPr>
      <t xml:space="preserve">Alps </t>
    </r>
    <r>
      <rPr>
        <sz val="14"/>
        <rFont val="Microsoft YaHei"/>
        <family val="2"/>
      </rPr>
      <t>大埔</t>
    </r>
  </si>
  <si>
    <t>譚洭倫</t>
  </si>
  <si>
    <t>M514</t>
  </si>
  <si>
    <t>勞永鏗</t>
  </si>
  <si>
    <t>M667</t>
  </si>
  <si>
    <t>H2</t>
  </si>
  <si>
    <t>培正</t>
  </si>
  <si>
    <t>鄭晉宏</t>
  </si>
  <si>
    <t>M629</t>
  </si>
  <si>
    <t>陳品全</t>
  </si>
  <si>
    <t>M630</t>
  </si>
  <si>
    <t>G2</t>
  </si>
  <si>
    <t>G2,F2</t>
  </si>
  <si>
    <t>SCAA L&amp;M</t>
  </si>
  <si>
    <t>柳凱富</t>
  </si>
  <si>
    <t>M806</t>
  </si>
  <si>
    <t>黃英彰</t>
  </si>
  <si>
    <t>M931</t>
  </si>
  <si>
    <t>F2</t>
  </si>
  <si>
    <t>鉅威好大隻</t>
  </si>
  <si>
    <t>陳鉅威</t>
  </si>
  <si>
    <t>M880</t>
  </si>
  <si>
    <t>羅南杰</t>
  </si>
  <si>
    <t>NEW</t>
  </si>
  <si>
    <t>E2</t>
  </si>
  <si>
    <t>撈碧鵰</t>
  </si>
  <si>
    <t>陳暐晴</t>
  </si>
  <si>
    <t>M642</t>
  </si>
  <si>
    <t>黃志傑</t>
  </si>
  <si>
    <t>M704</t>
  </si>
  <si>
    <t>D2</t>
  </si>
  <si>
    <t>閃閃叔叔</t>
  </si>
  <si>
    <t>程文達</t>
  </si>
  <si>
    <t>M224</t>
  </si>
  <si>
    <t>杜顯陞</t>
  </si>
  <si>
    <t>M214</t>
  </si>
  <si>
    <t>C2</t>
  </si>
  <si>
    <t>豬扒廖家勤</t>
  </si>
  <si>
    <t>關梓烽</t>
  </si>
  <si>
    <t>M890</t>
  </si>
  <si>
    <t>廖家勤</t>
  </si>
  <si>
    <t>M625</t>
  </si>
  <si>
    <t>B2</t>
  </si>
  <si>
    <t>消防處</t>
  </si>
  <si>
    <t>張志坤</t>
  </si>
  <si>
    <t>M332</t>
  </si>
  <si>
    <t>鄧耀文</t>
  </si>
  <si>
    <t>M279</t>
  </si>
  <si>
    <t>A2</t>
  </si>
  <si>
    <t>北極熊</t>
  </si>
  <si>
    <t>張淦邦</t>
  </si>
  <si>
    <t>M184</t>
  </si>
  <si>
    <t>林敬淳</t>
  </si>
  <si>
    <t>M187</t>
  </si>
  <si>
    <t>A3</t>
  </si>
  <si>
    <t>LS</t>
  </si>
  <si>
    <t>李泯其</t>
  </si>
  <si>
    <t>M165</t>
  </si>
  <si>
    <t>程瀚林</t>
  </si>
  <si>
    <t>B3</t>
  </si>
  <si>
    <t>ALPS - CUBA</t>
  </si>
  <si>
    <t>黃溢隆</t>
  </si>
  <si>
    <t>M219</t>
  </si>
  <si>
    <t>李梓恆</t>
  </si>
  <si>
    <t>M568</t>
  </si>
  <si>
    <t>C3</t>
  </si>
  <si>
    <t>懶肉竹笙走韭芽</t>
  </si>
  <si>
    <t>劉偉文</t>
  </si>
  <si>
    <t>M973</t>
  </si>
  <si>
    <t>邱詩皓</t>
  </si>
  <si>
    <t>M248</t>
  </si>
  <si>
    <t>D3</t>
  </si>
  <si>
    <r>
      <rPr>
        <sz val="14"/>
        <rFont val="Microsoft YaHei"/>
        <family val="2"/>
      </rPr>
      <t>隨心</t>
    </r>
    <r>
      <rPr>
        <sz val="14"/>
        <rFont val="Calibri"/>
        <family val="2"/>
      </rPr>
      <t>91ers</t>
    </r>
  </si>
  <si>
    <t>林永豪</t>
  </si>
  <si>
    <t>M336</t>
  </si>
  <si>
    <t>方武輝</t>
  </si>
  <si>
    <t>M824</t>
  </si>
  <si>
    <t>E3</t>
  </si>
  <si>
    <t>企拍</t>
  </si>
  <si>
    <t>李勤昌</t>
  </si>
  <si>
    <t>M682</t>
  </si>
  <si>
    <t>黃栢軒</t>
  </si>
  <si>
    <t>M621</t>
  </si>
  <si>
    <t>G3</t>
  </si>
  <si>
    <t>F3,G3</t>
  </si>
  <si>
    <r>
      <rPr>
        <sz val="14"/>
        <rFont val="Calibri"/>
        <family val="2"/>
      </rPr>
      <t>IVE</t>
    </r>
    <r>
      <rPr>
        <sz val="14"/>
        <rFont val="Microsoft YaHei"/>
        <family val="2"/>
      </rPr>
      <t>雙雷</t>
    </r>
  </si>
  <si>
    <t>郭家俊</t>
  </si>
  <si>
    <t>M790</t>
  </si>
  <si>
    <t>陳朗晞</t>
  </si>
  <si>
    <t>M950</t>
  </si>
  <si>
    <t>F3</t>
  </si>
  <si>
    <t>兄弟草</t>
  </si>
  <si>
    <t>李霆峯</t>
  </si>
  <si>
    <t>M213</t>
  </si>
  <si>
    <t>陳志浩</t>
  </si>
  <si>
    <t>M674</t>
  </si>
  <si>
    <t>#33</t>
  </si>
  <si>
    <t>H3,SEED#33,34</t>
  </si>
  <si>
    <r>
      <rPr>
        <sz val="14"/>
        <rFont val="Microsoft YaHei"/>
        <family val="2"/>
      </rPr>
      <t>隨心</t>
    </r>
    <r>
      <rPr>
        <sz val="14"/>
        <rFont val="Calibri"/>
        <family val="2"/>
      </rPr>
      <t>96ers</t>
    </r>
  </si>
  <si>
    <t>張俊彥</t>
  </si>
  <si>
    <t>M719</t>
  </si>
  <si>
    <t>譚錦鴻</t>
  </si>
  <si>
    <t>M814</t>
  </si>
  <si>
    <t>#34</t>
  </si>
  <si>
    <t>LM</t>
  </si>
  <si>
    <t>馬朗青</t>
  </si>
  <si>
    <t>M727</t>
  </si>
  <si>
    <t>梁衍碩</t>
  </si>
  <si>
    <t>M967</t>
  </si>
  <si>
    <t>H3</t>
  </si>
  <si>
    <t>DD</t>
  </si>
  <si>
    <t>薛俊逸</t>
  </si>
  <si>
    <t>M321</t>
  </si>
  <si>
    <t>何建邦</t>
  </si>
  <si>
    <t>M924</t>
  </si>
  <si>
    <t>#35</t>
  </si>
  <si>
    <t>仁仔</t>
  </si>
  <si>
    <t>張竣棓</t>
  </si>
  <si>
    <t>M939</t>
  </si>
  <si>
    <t>陳銘琛</t>
  </si>
  <si>
    <t>#39</t>
  </si>
  <si>
    <t>SEED#36,37,38,39</t>
  </si>
  <si>
    <t>Swc</t>
  </si>
  <si>
    <t>梁景嵐</t>
  </si>
  <si>
    <t>M829</t>
  </si>
  <si>
    <t>李烈峰</t>
  </si>
  <si>
    <t>M899</t>
  </si>
  <si>
    <t>#36</t>
  </si>
  <si>
    <t>TTS</t>
  </si>
  <si>
    <t>王澄晞</t>
  </si>
  <si>
    <t>M653</t>
  </si>
  <si>
    <t>葉東豪</t>
  </si>
  <si>
    <t>#38</t>
  </si>
  <si>
    <t>BallMing</t>
  </si>
  <si>
    <t>陳葆霖</t>
  </si>
  <si>
    <t>M983</t>
  </si>
  <si>
    <t>張澔銘</t>
  </si>
  <si>
    <t>M984</t>
  </si>
  <si>
    <t>#37</t>
  </si>
  <si>
    <t>赤殷</t>
  </si>
  <si>
    <t>李祥坤</t>
  </si>
  <si>
    <t>卓少雄</t>
  </si>
  <si>
    <t>#47</t>
  </si>
  <si>
    <t>SEED#40-53</t>
  </si>
  <si>
    <t>爭取快樂</t>
  </si>
  <si>
    <t>林俊亨</t>
  </si>
  <si>
    <t>M765</t>
  </si>
  <si>
    <t>何梓勤</t>
  </si>
  <si>
    <t>M768</t>
  </si>
  <si>
    <t>#44</t>
  </si>
  <si>
    <t>起勢隊</t>
  </si>
  <si>
    <t>黃融翯</t>
  </si>
  <si>
    <t>梁裕昌</t>
  </si>
  <si>
    <t>#42</t>
  </si>
  <si>
    <t>羅中小伙子</t>
  </si>
  <si>
    <t>胡健朗</t>
  </si>
  <si>
    <t>趙浩智</t>
  </si>
  <si>
    <t>#41</t>
  </si>
  <si>
    <t>魔性澎拜</t>
  </si>
  <si>
    <t>丁俊然</t>
  </si>
  <si>
    <t>趙善堯</t>
  </si>
  <si>
    <t>M847</t>
  </si>
  <si>
    <t>#50</t>
  </si>
  <si>
    <t>ABC</t>
  </si>
  <si>
    <t>黃栢熙</t>
  </si>
  <si>
    <t>陳澔駿</t>
  </si>
  <si>
    <t>#43</t>
  </si>
  <si>
    <t>AE</t>
  </si>
  <si>
    <t>饒兆琮</t>
  </si>
  <si>
    <t>何世茂</t>
  </si>
  <si>
    <t>#40</t>
  </si>
  <si>
    <t>ALPS PAKSUN</t>
  </si>
  <si>
    <t>陳智能</t>
  </si>
  <si>
    <t>劉健燊</t>
  </si>
  <si>
    <t>#45</t>
  </si>
  <si>
    <t>ANTS</t>
  </si>
  <si>
    <t>盧易翔</t>
  </si>
  <si>
    <t>M778</t>
  </si>
  <si>
    <t>梁浩賢</t>
  </si>
  <si>
    <t>M779</t>
  </si>
  <si>
    <t>#48</t>
  </si>
  <si>
    <t>Chakra</t>
  </si>
  <si>
    <t>謝卓泓</t>
  </si>
  <si>
    <t>M865</t>
  </si>
  <si>
    <t>#52</t>
  </si>
  <si>
    <t>JC</t>
  </si>
  <si>
    <t>林耀宗</t>
  </si>
  <si>
    <t>譚嘉輝</t>
  </si>
  <si>
    <t>M570</t>
  </si>
  <si>
    <t>#46</t>
  </si>
  <si>
    <t>Ying Fung</t>
  </si>
  <si>
    <t>梁雋偉</t>
  </si>
  <si>
    <t>M800</t>
  </si>
  <si>
    <t>張子健</t>
  </si>
  <si>
    <t>#49</t>
  </si>
  <si>
    <t>英華</t>
  </si>
  <si>
    <t>杜知行</t>
  </si>
  <si>
    <t>孫進邦</t>
  </si>
  <si>
    <t>#51</t>
  </si>
  <si>
    <t>斷手指尾</t>
  </si>
  <si>
    <t>劉富豪</t>
  </si>
  <si>
    <t>M555</t>
  </si>
  <si>
    <t>石家禮</t>
  </si>
  <si>
    <t>M554</t>
  </si>
  <si>
    <t>#53</t>
  </si>
  <si>
    <r>
      <rPr>
        <sz val="12"/>
        <color indexed="8"/>
        <rFont val="Calibri"/>
        <family val="2"/>
      </rPr>
      <t xml:space="preserve">I. </t>
    </r>
    <r>
      <rPr>
        <sz val="12"/>
        <color indexed="8"/>
        <rFont val="微軟正黑體"/>
        <family val="2"/>
      </rPr>
      <t>男子甲組：</t>
    </r>
  </si>
  <si>
    <r>
      <rPr>
        <sz val="12"/>
        <color indexed="8"/>
        <rFont val="Calibri"/>
        <family val="2"/>
      </rPr>
      <t xml:space="preserve">a. </t>
    </r>
    <r>
      <rPr>
        <sz val="12"/>
        <color indexed="8"/>
        <rFont val="微軟正黑體"/>
        <family val="2"/>
      </rPr>
      <t>分組方法：</t>
    </r>
  </si>
  <si>
    <r>
      <rPr>
        <sz val="12"/>
        <color indexed="8"/>
        <rFont val="Calibri"/>
        <family val="2"/>
      </rP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</si>
  <si>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rPr>
        <sz val="12"/>
        <color indexed="8"/>
        <rFont val="Calibri"/>
        <family val="2"/>
      </rPr>
      <t xml:space="preserve">ii. </t>
    </r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微軟正黑體"/>
        <family val="2"/>
      </rPr>
      <t>種子依次編入小組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勝</t>
    </r>
    <r>
      <rPr>
        <sz val="12"/>
        <color indexed="8"/>
        <rFont val="Calibri"/>
        <family val="2"/>
      </rPr>
      <t>3</t>
    </r>
    <r>
      <rPr>
        <sz val="12"/>
        <color indexed="8"/>
        <rFont val="微軟正黑體"/>
        <family val="2"/>
      </rPr>
      <t>分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和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分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負</t>
    </r>
    <r>
      <rPr>
        <sz val="12"/>
        <color indexed="8"/>
        <rFont val="Calibri"/>
        <family val="2"/>
      </rPr>
      <t>0</t>
    </r>
    <r>
      <rPr>
        <sz val="12"/>
        <color indexed="8"/>
        <rFont val="微軟正黑體"/>
        <family val="2"/>
      </rPr>
      <t>分。</t>
    </r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</si>
  <si>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</si>
  <si>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</si>
  <si>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</si>
  <si>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</si>
  <si>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</si>
  <si>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</si>
  <si>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</si>
  <si>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</si>
  <si>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單循環比賽中得分由高至低依次排名次。前四名晉身決賽。</t>
  </si>
  <si>
    <r>
      <rPr>
        <sz val="12"/>
        <color indexed="8"/>
        <rFont val="微軟正黑體"/>
        <family val="2"/>
      </rPr>
      <t>第五至八名分別得</t>
    </r>
    <r>
      <rPr>
        <sz val="12"/>
        <color indexed="8"/>
        <rFont val="Calibri"/>
        <family val="2"/>
      </rPr>
      <t>96,90,84,78</t>
    </r>
    <r>
      <rPr>
        <sz val="12"/>
        <color indexed="8"/>
        <rFont val="微軟正黑體"/>
        <family val="2"/>
      </rPr>
      <t>種子分</t>
    </r>
  </si>
  <si>
    <r>
      <rPr>
        <sz val="12"/>
        <color indexed="8"/>
        <rFont val="Calibri"/>
        <family val="2"/>
      </rPr>
      <t>2</t>
    </r>
    <r>
      <rPr>
        <sz val="12"/>
        <color indexed="8"/>
        <rFont val="微軟正黑體"/>
        <family val="2"/>
      </rPr>
      <t>. 小組首四名交叉對賽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勝者進行冠軍賽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負者進行季軍賽；</t>
    </r>
  </si>
  <si>
    <t>MA1</t>
  </si>
  <si>
    <t>12:21, 23:21, 15:13</t>
  </si>
  <si>
    <t>A4</t>
  </si>
  <si>
    <t>MA4</t>
  </si>
  <si>
    <t>Final 1/2 places</t>
  </si>
  <si>
    <t>21:23, 15:21</t>
  </si>
  <si>
    <t>MA2</t>
  </si>
  <si>
    <t>21:15, 21:17</t>
  </si>
  <si>
    <r>
      <rPr>
        <b/>
        <sz val="12"/>
        <color indexed="8"/>
        <rFont val="Calibri"/>
        <family val="2"/>
      </rPr>
      <t xml:space="preserve">SCAA - </t>
    </r>
    <r>
      <rPr>
        <b/>
        <sz val="12"/>
        <color indexed="8"/>
        <rFont val="Microsoft YaHei"/>
        <family val="2"/>
      </rPr>
      <t>文龍</t>
    </r>
  </si>
  <si>
    <t>MA3</t>
  </si>
  <si>
    <t>Final 3/4 places</t>
  </si>
  <si>
    <t>21:9, 16:21, 17:15</t>
  </si>
  <si>
    <t>1st</t>
  </si>
  <si>
    <t>144 pts</t>
  </si>
  <si>
    <t>2nd</t>
  </si>
  <si>
    <t>132 pts</t>
  </si>
  <si>
    <t>3rd</t>
  </si>
  <si>
    <t>120 pts</t>
  </si>
  <si>
    <t>4th</t>
  </si>
  <si>
    <t>108 pts</t>
  </si>
  <si>
    <t>SCAA - 文龍</t>
  </si>
  <si>
    <t>5th</t>
  </si>
  <si>
    <t>96 pts</t>
  </si>
  <si>
    <t>ALPS-米肥落去</t>
  </si>
  <si>
    <t>6th</t>
  </si>
  <si>
    <t>90 pts</t>
  </si>
  <si>
    <t>7th</t>
  </si>
  <si>
    <t>84 pts</t>
  </si>
  <si>
    <t>8th</t>
  </si>
  <si>
    <t>78 pts</t>
  </si>
  <si>
    <t>Playing Schedule (Men's Division I)</t>
  </si>
  <si>
    <r>
      <rPr>
        <b/>
        <sz val="18"/>
        <rFont val="微軟正黑體"/>
        <family val="2"/>
      </rPr>
      <t>賽程表</t>
    </r>
    <r>
      <rPr>
        <b/>
        <sz val="18"/>
        <rFont val="新細明體"/>
        <family val="1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微軟正黑體"/>
        <family val="2"/>
      </rPr>
      <t>男子男組</t>
    </r>
    <r>
      <rPr>
        <b/>
        <sz val="18"/>
        <rFont val="Calibri"/>
        <family val="2"/>
      </rPr>
      <t>)</t>
    </r>
  </si>
  <si>
    <t>對賽隊</t>
  </si>
  <si>
    <t>局數</t>
  </si>
  <si>
    <t>分數</t>
  </si>
  <si>
    <t>POOL</t>
  </si>
  <si>
    <t>Group</t>
  </si>
  <si>
    <t>TEAMS</t>
  </si>
  <si>
    <t>TEAM A</t>
  </si>
  <si>
    <t>TEAM B</t>
  </si>
  <si>
    <t>分組</t>
  </si>
  <si>
    <t>Match No.</t>
  </si>
  <si>
    <t>A</t>
  </si>
  <si>
    <t>Vs</t>
  </si>
  <si>
    <t>20:22, 21:18</t>
  </si>
  <si>
    <t>Position</t>
  </si>
  <si>
    <t>Win</t>
  </si>
  <si>
    <t>Draw</t>
  </si>
  <si>
    <t>Loss</t>
  </si>
  <si>
    <t>Gain Points</t>
  </si>
  <si>
    <t>Lost Points</t>
  </si>
  <si>
    <t>Z</t>
  </si>
  <si>
    <t>19:21, 17:21</t>
  </si>
  <si>
    <t>17:21, 21:17</t>
  </si>
  <si>
    <t>9:21, 11:21</t>
  </si>
  <si>
    <t>15:21, 17:21</t>
  </si>
  <si>
    <t>22:20, 23:25</t>
  </si>
  <si>
    <t>16:21, 13:21</t>
  </si>
  <si>
    <t>21:17, 12:21</t>
  </si>
  <si>
    <t>19:21, 12:21</t>
  </si>
  <si>
    <t>ALPS-KUZ (Withdraw)</t>
  </si>
  <si>
    <t>Injury Team A</t>
  </si>
  <si>
    <t>21:15, 21:11</t>
  </si>
  <si>
    <t>21:15, 18:21</t>
  </si>
  <si>
    <t>21:13, 19:21</t>
  </si>
  <si>
    <t>18:21, 21:13</t>
  </si>
  <si>
    <t>12:21, 16:21</t>
  </si>
  <si>
    <t>Injury Team B</t>
  </si>
  <si>
    <t>18:21, 9:21</t>
  </si>
  <si>
    <t>13:21, 21:19</t>
  </si>
  <si>
    <t>18:21, 21:18</t>
  </si>
  <si>
    <t>21:19, 16:21</t>
  </si>
  <si>
    <t>19:21, 27:29</t>
  </si>
  <si>
    <t>21:10, 21:19</t>
  </si>
  <si>
    <t>21:17, 16:21</t>
  </si>
  <si>
    <t>21:18, 21:15</t>
  </si>
  <si>
    <t>21:16, 21:15</t>
  </si>
  <si>
    <r>
      <rPr>
        <sz val="12"/>
        <color indexed="8"/>
        <rFont val="Calibri"/>
        <family val="2"/>
      </rPr>
      <t xml:space="preserve">I. </t>
    </r>
    <r>
      <rPr>
        <sz val="12"/>
        <color indexed="8"/>
        <rFont val="微軟正黑體"/>
        <family val="2"/>
      </rPr>
      <t>男子乙組：</t>
    </r>
  </si>
  <si>
    <t>資格賽賽程</t>
  </si>
  <si>
    <t>B</t>
  </si>
  <si>
    <t>C</t>
  </si>
  <si>
    <t>D</t>
  </si>
  <si>
    <t>E</t>
  </si>
  <si>
    <t>F</t>
  </si>
  <si>
    <t>G</t>
  </si>
  <si>
    <t>H</t>
  </si>
  <si>
    <t>SEED#9</t>
  </si>
  <si>
    <t>SEED#10</t>
  </si>
  <si>
    <t>SEED#11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</si>
  <si>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</si>
  <si>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</si>
  <si>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</si>
  <si>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</si>
  <si>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</si>
  <si>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</si>
  <si>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</si>
  <si>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</si>
  <si>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</si>
  <si>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</si>
  <si>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</si>
  <si>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</si>
  <si>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</si>
  <si>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</si>
  <si>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</si>
  <si>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</si>
  <si>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</si>
  <si>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</si>
  <si>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</si>
  <si>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</si>
  <si>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</si>
  <si>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SEED#40</t>
  </si>
  <si>
    <t>SEED#39</t>
  </si>
  <si>
    <t>SEED#38</t>
  </si>
  <si>
    <t>SEED#37</t>
  </si>
  <si>
    <t>SEED#36</t>
  </si>
  <si>
    <t>SEED#35</t>
  </si>
  <si>
    <t>SEED#34</t>
  </si>
  <si>
    <t>SEED#33</t>
  </si>
  <si>
    <t>SEED#41</t>
  </si>
  <si>
    <t>SEED#42</t>
  </si>
  <si>
    <t>SEED#43</t>
  </si>
  <si>
    <t>SEED#44</t>
  </si>
  <si>
    <t>SEED#45</t>
  </si>
  <si>
    <t>SEED#46</t>
  </si>
  <si>
    <t>SEED#47</t>
  </si>
  <si>
    <t>SEED#48</t>
  </si>
  <si>
    <t>SEED#53</t>
  </si>
  <si>
    <t>SEED#52</t>
  </si>
  <si>
    <t>SEED#51</t>
  </si>
  <si>
    <t>SEED#50</t>
  </si>
  <si>
    <t>SEED#49</t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</si>
  <si>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33-53</t>
    </r>
    <r>
      <rPr>
        <sz val="12"/>
        <color indexed="8"/>
        <rFont val="微軟正黑體"/>
        <family val="2"/>
      </rPr>
      <t>種子進行淘汰賽，賽出資格並分配於各組內。</t>
    </r>
  </si>
  <si>
    <t>Seed#33</t>
  </si>
  <si>
    <t>Seed#64</t>
  </si>
  <si>
    <t>-</t>
  </si>
  <si>
    <t>QT6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</si>
  <si>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H4</t>
    </r>
  </si>
  <si>
    <t>Seed#48</t>
  </si>
  <si>
    <t>8:15, 10:15</t>
  </si>
  <si>
    <t>QT5</t>
  </si>
  <si>
    <t>Seed#49</t>
  </si>
  <si>
    <t>Ying Fung No Show</t>
  </si>
  <si>
    <t>Seed#41</t>
  </si>
  <si>
    <t>Seed#56</t>
  </si>
  <si>
    <t>QT13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</si>
  <si>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A4</t>
    </r>
  </si>
  <si>
    <t>Seed#40</t>
  </si>
  <si>
    <t>5:15, 5:15</t>
  </si>
  <si>
    <t>Seed#57</t>
  </si>
  <si>
    <t>Seed#37</t>
  </si>
  <si>
    <t>Seed#60</t>
  </si>
  <si>
    <t>QT10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</si>
  <si>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D4</t>
    </r>
  </si>
  <si>
    <t>Seed#44</t>
  </si>
  <si>
    <t>15:6, 15:7</t>
  </si>
  <si>
    <t>QT1</t>
  </si>
  <si>
    <t>Seed#53</t>
  </si>
  <si>
    <t>15:11, 12:15, 12:15</t>
  </si>
  <si>
    <t>Seed#45</t>
  </si>
  <si>
    <t>QT2</t>
  </si>
  <si>
    <t>Seed#52</t>
  </si>
  <si>
    <t>15:12, 15:10</t>
  </si>
  <si>
    <t>QT9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</si>
  <si>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E4</t>
    </r>
  </si>
  <si>
    <t>Seed#36</t>
  </si>
  <si>
    <t>7:15, 13:15</t>
  </si>
  <si>
    <t>Seed#61</t>
  </si>
  <si>
    <t>Seed#35</t>
  </si>
  <si>
    <t>Seed#62</t>
  </si>
  <si>
    <t>QT8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</si>
  <si>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F4</t>
    </r>
  </si>
  <si>
    <t>Seed#46</t>
  </si>
  <si>
    <t>8:15, 7:15</t>
  </si>
  <si>
    <t>QT3</t>
  </si>
  <si>
    <t>Seed#51</t>
  </si>
  <si>
    <r>
      <rPr>
        <sz val="12"/>
        <color indexed="8"/>
        <rFont val="Microsoft YaHei"/>
        <family val="2"/>
      </rPr>
      <t xml:space="preserve">英華 </t>
    </r>
    <r>
      <rPr>
        <sz val="12"/>
        <color indexed="8"/>
        <rFont val="Calibri"/>
        <family val="2"/>
      </rPr>
      <t>No show</t>
    </r>
  </si>
  <si>
    <t>Seed#43</t>
  </si>
  <si>
    <t>Seed#54</t>
  </si>
  <si>
    <t>QT11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</si>
  <si>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C4</t>
    </r>
  </si>
  <si>
    <t>Seed#38</t>
  </si>
  <si>
    <t>15:13, 15:12</t>
  </si>
  <si>
    <t>Seed#59</t>
  </si>
  <si>
    <t>Seed#39</t>
  </si>
  <si>
    <t>Seed#58</t>
  </si>
  <si>
    <t>QT12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</si>
  <si>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B4</t>
    </r>
  </si>
  <si>
    <t>Seed#42</t>
  </si>
  <si>
    <t>起勢隊 No Show</t>
  </si>
  <si>
    <t>Seed#55</t>
  </si>
  <si>
    <t>Seed#47</t>
  </si>
  <si>
    <t>QT4</t>
  </si>
  <si>
    <t>Seed#50</t>
  </si>
  <si>
    <t>10:15, 15:12, 17:15</t>
  </si>
  <si>
    <t>QT7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</si>
  <si>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G4</t>
    </r>
  </si>
  <si>
    <t>Seed#34</t>
  </si>
  <si>
    <t>16:14, 6:15, 8:15</t>
  </si>
  <si>
    <t>Seed#63</t>
  </si>
  <si>
    <r>
      <rPr>
        <sz val="12"/>
        <color indexed="8"/>
        <rFont val="Calibri"/>
        <family val="2"/>
      </rPr>
      <t xml:space="preserve">ii. </t>
    </r>
    <r>
      <rPr>
        <sz val="12"/>
        <rFont val="微軟正黑體"/>
        <family val="2"/>
      </rPr>
      <t>第</t>
    </r>
    <r>
      <rPr>
        <sz val="12"/>
        <rFont val="Calibri"/>
        <family val="2"/>
      </rPr>
      <t>9</t>
    </r>
    <r>
      <rPr>
        <sz val="12"/>
        <rFont val="微軟正黑體"/>
        <family val="2"/>
      </rPr>
      <t>至第</t>
    </r>
    <r>
      <rPr>
        <sz val="12"/>
        <rFont val="Calibri"/>
        <family val="2"/>
      </rPr>
      <t>32</t>
    </r>
    <r>
      <rPr>
        <sz val="12"/>
        <rFont val="微軟正黑體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</si>
  <si>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r>
      <rPr>
        <sz val="12"/>
        <rFont val="Calibri"/>
        <family val="2"/>
      </rPr>
      <t xml:space="preserve">iii. </t>
    </r>
    <r>
      <rPr>
        <sz val="12"/>
        <rFont val="微軟正黑體"/>
        <family val="2"/>
      </rPr>
      <t>其餘隊伍根據抽籤及資格賽成績分配於各組內。</t>
    </r>
  </si>
  <si>
    <r>
      <rPr>
        <sz val="12"/>
        <color indexed="8"/>
        <rFont val="Calibri"/>
        <family val="2"/>
      </rPr>
      <t xml:space="preserve">iv. </t>
    </r>
    <r>
      <rPr>
        <sz val="12"/>
        <color indexed="8"/>
        <rFont val="微軟正黑體"/>
        <family val="2"/>
      </rPr>
      <t>資格賽賽程詳見</t>
    </r>
    <r>
      <rPr>
        <sz val="12"/>
        <color indexed="8"/>
        <rFont val="Calibri"/>
        <family val="2"/>
      </rPr>
      <t>MQTFormat</t>
    </r>
  </si>
  <si>
    <t>小組單循環比賽中得分由高至低依次排名次。首次名晉級。</t>
  </si>
  <si>
    <r>
      <rPr>
        <sz val="12"/>
        <rFont val="微軟正黑體"/>
        <family val="2"/>
      </rP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</rPr>
      <t>種子分。</t>
    </r>
  </si>
  <si>
    <r>
      <rPr>
        <sz val="12"/>
        <rFont val="微軟正黑體"/>
        <family val="2"/>
      </rP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</rPr>
      <t>種子分。</t>
    </r>
  </si>
  <si>
    <r>
      <rPr>
        <sz val="12"/>
        <color indexed="8"/>
        <rFont val="Calibri"/>
        <family val="2"/>
      </rPr>
      <t>b. 16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</si>
  <si>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</si>
  <si>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</si>
  <si>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</si>
  <si>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</si>
  <si>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</si>
  <si>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</si>
  <si>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</si>
  <si>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</si>
  <si>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</si>
  <si>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</si>
  <si>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</si>
  <si>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</si>
  <si>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</si>
  <si>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t>MB12</t>
  </si>
  <si>
    <t>MB15</t>
  </si>
  <si>
    <t>MB8</t>
  </si>
  <si>
    <t>72 pts</t>
  </si>
  <si>
    <t>9th</t>
  </si>
  <si>
    <t>54 pts</t>
  </si>
  <si>
    <t>17th</t>
  </si>
  <si>
    <t>48 pts</t>
  </si>
  <si>
    <t>25th</t>
  </si>
  <si>
    <t>36 pts</t>
  </si>
  <si>
    <t>QT</t>
  </si>
  <si>
    <t>6 pts</t>
  </si>
  <si>
    <r>
      <rPr>
        <b/>
        <sz val="16"/>
        <rFont val="微軟正黑體"/>
        <family val="2"/>
      </rPr>
      <t>球員</t>
    </r>
    <r>
      <rPr>
        <b/>
        <sz val="16"/>
        <rFont val="Calibri"/>
        <family val="2"/>
      </rPr>
      <t>1</t>
    </r>
  </si>
  <si>
    <r>
      <rPr>
        <b/>
        <sz val="16"/>
        <rFont val="微軟正黑體"/>
        <family val="2"/>
      </rPr>
      <t>球員</t>
    </r>
    <r>
      <rPr>
        <b/>
        <sz val="16"/>
        <rFont val="Calibri"/>
        <family val="2"/>
      </rPr>
      <t>2</t>
    </r>
  </si>
  <si>
    <t>稻八</t>
  </si>
  <si>
    <t>歐陽瑋欣</t>
  </si>
  <si>
    <t>F538</t>
  </si>
  <si>
    <t>古蓉蓉</t>
  </si>
  <si>
    <t>F395</t>
  </si>
  <si>
    <t>ST</t>
  </si>
  <si>
    <t>杜詠彤</t>
  </si>
  <si>
    <t>F530</t>
  </si>
  <si>
    <t>江卓儀</t>
  </si>
  <si>
    <t>F115</t>
  </si>
  <si>
    <t>羚靖</t>
  </si>
  <si>
    <t>黃雯靖</t>
  </si>
  <si>
    <t>F681</t>
  </si>
  <si>
    <t>曾岳羚</t>
  </si>
  <si>
    <t>F735</t>
  </si>
  <si>
    <t xml:space="preserve">Pillarsports </t>
  </si>
  <si>
    <t>盧慧茵</t>
  </si>
  <si>
    <t>F202</t>
  </si>
  <si>
    <t>袁廷芝</t>
  </si>
  <si>
    <t>F153</t>
  </si>
  <si>
    <t>L</t>
  </si>
  <si>
    <t>吳詠嵐</t>
  </si>
  <si>
    <t>F628</t>
  </si>
  <si>
    <t>駱映喬</t>
  </si>
  <si>
    <t>F599</t>
  </si>
  <si>
    <t>Reunion</t>
  </si>
  <si>
    <t>任頌欣</t>
  </si>
  <si>
    <t>F585</t>
  </si>
  <si>
    <t>劉天慧</t>
  </si>
  <si>
    <t>F142</t>
  </si>
  <si>
    <t>SURVIVOR</t>
  </si>
  <si>
    <t>梁倩橋</t>
  </si>
  <si>
    <t>F583</t>
  </si>
  <si>
    <t>馮可盈</t>
  </si>
  <si>
    <t>F582</t>
  </si>
  <si>
    <r>
      <rPr>
        <sz val="14"/>
        <rFont val="微軟正黑體"/>
        <family val="2"/>
      </rPr>
      <t>呀</t>
    </r>
    <r>
      <rPr>
        <sz val="14"/>
        <rFont val="Calibri"/>
        <family val="2"/>
      </rPr>
      <t>mi</t>
    </r>
    <r>
      <rPr>
        <sz val="14"/>
        <rFont val="微軟正黑體"/>
        <family val="2"/>
      </rPr>
      <t>與呀婷</t>
    </r>
  </si>
  <si>
    <t>張芳婷</t>
  </si>
  <si>
    <t>F616</t>
  </si>
  <si>
    <t>陳秋穎</t>
  </si>
  <si>
    <t>F105</t>
  </si>
  <si>
    <t>奸巴爹</t>
  </si>
  <si>
    <t>林穎哲</t>
  </si>
  <si>
    <t>F611</t>
  </si>
  <si>
    <t>黃雪怡</t>
  </si>
  <si>
    <t>F773</t>
  </si>
  <si>
    <t>贏粒糖</t>
  </si>
  <si>
    <t>吳玥嬈</t>
  </si>
  <si>
    <t>F609</t>
  </si>
  <si>
    <t>陳綺婷</t>
  </si>
  <si>
    <t>大細波</t>
  </si>
  <si>
    <r>
      <rPr>
        <sz val="14"/>
        <rFont val="微軟正黑體"/>
        <family val="2"/>
      </rPr>
      <t>麥</t>
    </r>
    <r>
      <rPr>
        <sz val="14"/>
        <rFont val="Microsoft YaHei"/>
        <family val="2"/>
      </rPr>
      <t>_xD865__xDCD9_</t>
    </r>
    <r>
      <rPr>
        <sz val="14"/>
        <rFont val="微軟正黑體"/>
        <family val="2"/>
      </rPr>
      <t>恩</t>
    </r>
  </si>
  <si>
    <t>F653</t>
  </si>
  <si>
    <t>林淑怡</t>
  </si>
  <si>
    <t>F675</t>
  </si>
  <si>
    <r>
      <rPr>
        <sz val="14"/>
        <rFont val="微軟正黑體"/>
        <family val="2"/>
      </rPr>
      <t>葵青</t>
    </r>
    <r>
      <rPr>
        <sz val="14"/>
        <rFont val="Calibri"/>
        <family val="2"/>
      </rPr>
      <t>-</t>
    </r>
    <r>
      <rPr>
        <sz val="14"/>
        <rFont val="微軟正黑體"/>
        <family val="2"/>
      </rPr>
      <t>啫喱冰冰</t>
    </r>
  </si>
  <si>
    <t>何慧恩</t>
  </si>
  <si>
    <t>F179</t>
  </si>
  <si>
    <t>周影楣</t>
  </si>
  <si>
    <t>F531</t>
  </si>
  <si>
    <t>求奇</t>
  </si>
  <si>
    <t>黃詠雪</t>
  </si>
  <si>
    <t>F772</t>
  </si>
  <si>
    <t>吳希瑜</t>
  </si>
  <si>
    <t>F460</t>
  </si>
  <si>
    <t>標腰</t>
  </si>
  <si>
    <t>余凱婷</t>
  </si>
  <si>
    <t>F660</t>
  </si>
  <si>
    <t>陳明慧</t>
  </si>
  <si>
    <t>F251</t>
  </si>
  <si>
    <t>Agajor Moloko</t>
  </si>
  <si>
    <t>張詩雅</t>
  </si>
  <si>
    <t>F237</t>
  </si>
  <si>
    <t>楊紫霞</t>
  </si>
  <si>
    <t>F439</t>
  </si>
  <si>
    <t>GG</t>
  </si>
  <si>
    <t>吳樂彤</t>
  </si>
  <si>
    <t>F565</t>
  </si>
  <si>
    <t>黎寶儀</t>
  </si>
  <si>
    <t>F564</t>
  </si>
  <si>
    <t>Synergy</t>
  </si>
  <si>
    <t>陳潔怡</t>
  </si>
  <si>
    <t>F290</t>
  </si>
  <si>
    <t>尹子婷</t>
  </si>
  <si>
    <t>F289</t>
  </si>
  <si>
    <t>J&amp;M</t>
  </si>
  <si>
    <t>廖美恩</t>
  </si>
  <si>
    <t>F437</t>
  </si>
  <si>
    <t>布諾珩</t>
  </si>
  <si>
    <t>F584</t>
  </si>
  <si>
    <t>RACO</t>
  </si>
  <si>
    <t>鄭鈺諺</t>
  </si>
  <si>
    <t>F667</t>
  </si>
  <si>
    <t>方慧敏</t>
  </si>
  <si>
    <t>F758</t>
  </si>
  <si>
    <t>D2,E2,F2</t>
  </si>
  <si>
    <t>Runa</t>
  </si>
  <si>
    <t>趙穎琪</t>
  </si>
  <si>
    <t>F678</t>
  </si>
  <si>
    <t>林慧賢</t>
  </si>
  <si>
    <t>F679</t>
  </si>
  <si>
    <t>ZIZI</t>
  </si>
  <si>
    <t>謝穎琳</t>
  </si>
  <si>
    <t>F403</t>
  </si>
  <si>
    <t>梁詩蕊</t>
  </si>
  <si>
    <t>F595</t>
  </si>
  <si>
    <t>李佩珊</t>
  </si>
  <si>
    <t>F260</t>
  </si>
  <si>
    <t>羅可楓</t>
  </si>
  <si>
    <t>F259</t>
  </si>
  <si>
    <t>ACE</t>
  </si>
  <si>
    <t>鄭卓伶</t>
  </si>
  <si>
    <t>F787</t>
  </si>
  <si>
    <t>鄧心弦</t>
  </si>
  <si>
    <t>大力死守</t>
  </si>
  <si>
    <t>梁雨詩</t>
  </si>
  <si>
    <t>吳祈穎</t>
  </si>
  <si>
    <t>A2,A3,B3,C3,D3,E3,F3,G3,H3,H4,G4,F4,E4,D4,C4,B4,SEED#40,41</t>
  </si>
  <si>
    <t>只攻與防</t>
  </si>
  <si>
    <t>梁卓怡</t>
  </si>
  <si>
    <t>周思欣</t>
  </si>
  <si>
    <t>G4</t>
  </si>
  <si>
    <t>哈比</t>
  </si>
  <si>
    <t>林敏儀</t>
  </si>
  <si>
    <t>F657</t>
  </si>
  <si>
    <t>林綺嫻</t>
  </si>
  <si>
    <t>D4</t>
  </si>
  <si>
    <t>珈蔚</t>
  </si>
  <si>
    <t>羅婉珈</t>
  </si>
  <si>
    <t>蘇嘉蔚</t>
  </si>
  <si>
    <t>麥桃團</t>
  </si>
  <si>
    <t>麥詠詩</t>
  </si>
  <si>
    <t>F601</t>
  </si>
  <si>
    <t>温菁怡</t>
  </si>
  <si>
    <t>黑媽媽</t>
  </si>
  <si>
    <t>伍蒨兒</t>
  </si>
  <si>
    <t>林希梅</t>
  </si>
  <si>
    <t>B4</t>
  </si>
  <si>
    <t>嗯</t>
  </si>
  <si>
    <t>麥綺雯</t>
  </si>
  <si>
    <t>F571</t>
  </si>
  <si>
    <t>張諾姸</t>
  </si>
  <si>
    <t>雙兒</t>
  </si>
  <si>
    <t>張嘉兒</t>
  </si>
  <si>
    <t>段雙雙</t>
  </si>
  <si>
    <t>Ga.me Ti.me</t>
  </si>
  <si>
    <t>曾嘉悅</t>
  </si>
  <si>
    <t>楊穎曈</t>
  </si>
  <si>
    <t>F641</t>
  </si>
  <si>
    <t>HAHA</t>
  </si>
  <si>
    <t>張詠欣</t>
  </si>
  <si>
    <t>葉佩霞</t>
  </si>
  <si>
    <t>F447</t>
  </si>
  <si>
    <t>C4</t>
  </si>
  <si>
    <t>LIZ&amp;KEL</t>
  </si>
  <si>
    <t>徐家麗</t>
  </si>
  <si>
    <t>F713</t>
  </si>
  <si>
    <t>李綺霖</t>
  </si>
  <si>
    <t>H4</t>
  </si>
  <si>
    <t>ME</t>
  </si>
  <si>
    <t>孫綺彤</t>
  </si>
  <si>
    <t>賴家敏</t>
  </si>
  <si>
    <t xml:space="preserve">Puipui </t>
  </si>
  <si>
    <t>吳佩兒</t>
  </si>
  <si>
    <t>F708</t>
  </si>
  <si>
    <t>鄧琪霈</t>
  </si>
  <si>
    <t>F754</t>
  </si>
  <si>
    <t>E4</t>
  </si>
  <si>
    <t>S.potato</t>
  </si>
  <si>
    <t>鍾嘉雯</t>
  </si>
  <si>
    <t>F764</t>
  </si>
  <si>
    <t>陳琪茵</t>
  </si>
  <si>
    <t>SODA</t>
  </si>
  <si>
    <t>謝沛汶</t>
  </si>
  <si>
    <t>F449</t>
  </si>
  <si>
    <t>蘇安娜</t>
  </si>
  <si>
    <t>Spark</t>
  </si>
  <si>
    <t>林芷晴</t>
  </si>
  <si>
    <t>F603</t>
  </si>
  <si>
    <t>謝尹斯</t>
  </si>
  <si>
    <t>F4</t>
  </si>
  <si>
    <r>
      <rPr>
        <sz val="14"/>
        <rFont val="Calibri"/>
        <family val="2"/>
      </rPr>
      <t>TKP</t>
    </r>
    <r>
      <rPr>
        <sz val="14"/>
        <rFont val="微軟正黑體"/>
        <family val="2"/>
      </rPr>
      <t>老野</t>
    </r>
  </si>
  <si>
    <t>劉希雯</t>
  </si>
  <si>
    <t>F291</t>
  </si>
  <si>
    <t>葉佩淇</t>
  </si>
  <si>
    <t>YSYL</t>
  </si>
  <si>
    <t>葉萃茹</t>
  </si>
  <si>
    <t>F520</t>
  </si>
  <si>
    <t>葉萃苓</t>
  </si>
  <si>
    <t>F696</t>
  </si>
  <si>
    <t>勝方</t>
  </si>
  <si>
    <t>vs</t>
  </si>
  <si>
    <r>
      <rPr>
        <b/>
        <sz val="12"/>
        <rFont val="細明體"/>
        <family val="3"/>
      </rPr>
      <t>進入</t>
    </r>
    <r>
      <rPr>
        <b/>
        <sz val="12"/>
        <rFont val="Calibri"/>
        <family val="2"/>
      </rPr>
      <t>A4</t>
    </r>
  </si>
  <si>
    <t>No show</t>
  </si>
  <si>
    <t>Playing Schedule (Men's Division II)</t>
  </si>
  <si>
    <r>
      <rPr>
        <b/>
        <sz val="18"/>
        <rFont val="微軟正黑體"/>
        <family val="2"/>
      </rPr>
      <t>賽程表</t>
    </r>
    <r>
      <rPr>
        <b/>
        <sz val="18"/>
        <rFont val="新細明體"/>
        <family val="1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微軟正黑體"/>
        <family val="2"/>
      </rPr>
      <t>男子乙組</t>
    </r>
    <r>
      <rPr>
        <b/>
        <sz val="18"/>
        <rFont val="Calibri"/>
        <family val="2"/>
      </rPr>
      <t>)</t>
    </r>
  </si>
  <si>
    <t>場次</t>
  </si>
  <si>
    <t>隨心96ers</t>
  </si>
  <si>
    <r>
      <rPr>
        <sz val="12"/>
        <color indexed="8"/>
        <rFont val="Calibri"/>
        <family val="2"/>
      </rPr>
      <t xml:space="preserve">I. </t>
    </r>
    <r>
      <rPr>
        <sz val="12"/>
        <color indexed="8"/>
        <rFont val="微軟正黑體"/>
        <family val="2"/>
      </rPr>
      <t>女子甲組：</t>
    </r>
  </si>
  <si>
    <r>
      <rPr>
        <sz val="12"/>
        <color indexed="8"/>
        <rFont val="Calibri"/>
        <family val="2"/>
      </rPr>
      <t>i</t>
    </r>
    <r>
      <rPr>
        <sz val="12"/>
        <color indexed="8"/>
        <rFont val="微軟正黑體"/>
        <family val="2"/>
      </rPr>
      <t>. 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</si>
  <si>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rPr>
        <sz val="12"/>
        <color indexed="8"/>
        <rFont val="Calibri"/>
        <family val="2"/>
      </rPr>
      <t>ii</t>
    </r>
    <r>
      <rPr>
        <sz val="12"/>
        <color indexed="8"/>
        <rFont val="微軟正黑體"/>
        <family val="2"/>
      </rPr>
      <t>. 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微軟正黑體"/>
        <family val="2"/>
      </rPr>
      <t>種子依次編入小組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勝</t>
    </r>
    <r>
      <rPr>
        <sz val="12"/>
        <color indexed="8"/>
        <rFont val="Calibri"/>
        <family val="2"/>
      </rPr>
      <t>3</t>
    </r>
    <r>
      <rPr>
        <sz val="12"/>
        <color indexed="8"/>
        <rFont val="微軟正黑體"/>
        <family val="2"/>
      </rPr>
      <t>分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和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分</t>
    </r>
    <r>
      <rPr>
        <sz val="12"/>
        <color indexed="8"/>
        <rFont val="Calibri"/>
        <family val="2"/>
      </rPr>
      <t>,</t>
    </r>
    <r>
      <rPr>
        <sz val="12"/>
        <color indexed="8"/>
        <rFont val="微軟正黑體"/>
        <family val="2"/>
      </rPr>
      <t>負</t>
    </r>
    <r>
      <rPr>
        <sz val="12"/>
        <color indexed="8"/>
        <rFont val="Calibri"/>
        <family val="2"/>
      </rPr>
      <t>0</t>
    </r>
    <r>
      <rPr>
        <sz val="12"/>
        <color indexed="8"/>
        <rFont val="微軟正黑體"/>
        <family val="2"/>
      </rPr>
      <t>分。</t>
    </r>
  </si>
  <si>
    <t>WA1</t>
  </si>
  <si>
    <t>21:17, 21:11</t>
  </si>
  <si>
    <t>WA4</t>
  </si>
  <si>
    <t>21:10, 21:16</t>
  </si>
  <si>
    <t>WA2</t>
  </si>
  <si>
    <t>19:21, 21:18, 16:14</t>
  </si>
  <si>
    <t>WA3</t>
  </si>
  <si>
    <t>呀mi與呀婷</t>
  </si>
  <si>
    <t>Playing Schedule (Women's Division I)</t>
  </si>
  <si>
    <r>
      <rPr>
        <b/>
        <sz val="18"/>
        <rFont val="微軟正黑體"/>
        <family val="2"/>
      </rPr>
      <t>賽程表</t>
    </r>
    <r>
      <rPr>
        <b/>
        <sz val="18"/>
        <rFont val="新細明體"/>
        <family val="1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微軟正黑體"/>
        <family val="2"/>
      </rPr>
      <t>女子甲組</t>
    </r>
    <r>
      <rPr>
        <b/>
        <sz val="18"/>
        <rFont val="Calibri"/>
        <family val="2"/>
      </rPr>
      <t>)</t>
    </r>
  </si>
  <si>
    <t>21:11, 21:6</t>
  </si>
  <si>
    <t>Loss Points</t>
  </si>
  <si>
    <t>21:9, 21:8</t>
  </si>
  <si>
    <t>21:7, 21:7</t>
  </si>
  <si>
    <t>21:8, 21:10</t>
  </si>
  <si>
    <t>21:8, 21:13</t>
  </si>
  <si>
    <t>11:21, 21:11</t>
  </si>
  <si>
    <r>
      <rPr>
        <sz val="14"/>
        <rFont val="Microsoft YaHei"/>
        <family val="2"/>
      </rPr>
      <t>呀</t>
    </r>
    <r>
      <rPr>
        <sz val="14"/>
        <rFont val="Calibri"/>
        <family val="2"/>
      </rPr>
      <t>mi</t>
    </r>
    <r>
      <rPr>
        <sz val="14"/>
        <rFont val="Microsoft YaHei"/>
        <family val="2"/>
      </rPr>
      <t>與呀婷</t>
    </r>
  </si>
  <si>
    <t>21:13, 21:14</t>
  </si>
  <si>
    <t>21:14, 21:6</t>
  </si>
  <si>
    <t>21:10, 21:14</t>
  </si>
  <si>
    <t>21:19, 21:12</t>
  </si>
  <si>
    <t>21:10, 21:9</t>
  </si>
  <si>
    <t>21:7, 21:10</t>
  </si>
  <si>
    <r>
      <rPr>
        <sz val="14"/>
        <rFont val="Microsoft YaHei"/>
        <family val="2"/>
      </rPr>
      <t xml:space="preserve">稻八 </t>
    </r>
    <r>
      <rPr>
        <sz val="14"/>
        <rFont val="Calibri"/>
        <family val="2"/>
      </rPr>
      <t>no show</t>
    </r>
  </si>
  <si>
    <t>21:9, 21:15</t>
  </si>
  <si>
    <t>21:16, 21:7</t>
  </si>
  <si>
    <t>21:14, 21:15</t>
  </si>
  <si>
    <t>21:7, 21:12</t>
  </si>
  <si>
    <t>16:21, 20:22</t>
  </si>
  <si>
    <t>21:9, 21:14</t>
  </si>
  <si>
    <t>21:13, 21:15</t>
  </si>
  <si>
    <t>20:22, 21:19</t>
  </si>
  <si>
    <t>21:13, 21:9</t>
  </si>
  <si>
    <t>19:21, 21:8</t>
  </si>
  <si>
    <t>21:6, 21:9</t>
  </si>
  <si>
    <t>21:15, 21:23</t>
  </si>
  <si>
    <t>.</t>
  </si>
  <si>
    <r>
      <rPr>
        <sz val="12"/>
        <color indexed="8"/>
        <rFont val="Calibri"/>
        <family val="2"/>
      </rPr>
      <t>I. </t>
    </r>
    <r>
      <rPr>
        <sz val="12"/>
        <color indexed="8"/>
        <rFont val="微軟正黑體"/>
        <family val="2"/>
      </rPr>
      <t>女子乙組：</t>
    </r>
  </si>
  <si>
    <r>
      <rPr>
        <sz val="12"/>
        <rFont val="Calibri"/>
        <family val="2"/>
      </rPr>
      <t>ii</t>
    </r>
    <r>
      <rPr>
        <sz val="12"/>
        <rFont val="微軟正黑體"/>
        <family val="2"/>
      </rPr>
      <t>. 第</t>
    </r>
    <r>
      <rPr>
        <sz val="12"/>
        <rFont val="Calibri"/>
        <family val="2"/>
      </rPr>
      <t>9</t>
    </r>
    <r>
      <rPr>
        <sz val="12"/>
        <rFont val="微軟正黑體"/>
        <family val="2"/>
      </rPr>
      <t>至第</t>
    </r>
    <r>
      <rPr>
        <sz val="12"/>
        <rFont val="Calibri"/>
        <family val="2"/>
      </rPr>
      <t>27</t>
    </r>
    <r>
      <rPr>
        <sz val="12"/>
        <rFont val="微軟正黑體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</si>
  <si>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t>WB1</t>
  </si>
  <si>
    <t>WB9</t>
  </si>
  <si>
    <t>WB2</t>
  </si>
  <si>
    <t>WB13</t>
  </si>
  <si>
    <t>WB3</t>
  </si>
  <si>
    <t>WB10</t>
  </si>
  <si>
    <t>WB4</t>
  </si>
  <si>
    <t>WB16</t>
  </si>
  <si>
    <t>WB5</t>
  </si>
  <si>
    <t>WB11</t>
  </si>
  <si>
    <t>WB6</t>
  </si>
  <si>
    <t>WB14</t>
  </si>
  <si>
    <t>WB7</t>
  </si>
  <si>
    <t>WB12</t>
  </si>
  <si>
    <t>WB15</t>
  </si>
  <si>
    <t>WB8</t>
  </si>
  <si>
    <t>Playing Schedule (Women's Division II)</t>
  </si>
  <si>
    <r>
      <rPr>
        <b/>
        <sz val="18"/>
        <rFont val="微軟正黑體"/>
        <family val="2"/>
      </rPr>
      <t>賽程表</t>
    </r>
    <r>
      <rPr>
        <b/>
        <sz val="18"/>
        <rFont val="新細明體"/>
        <family val="1"/>
      </rPr>
      <t xml:space="preserve"> </t>
    </r>
    <r>
      <rPr>
        <b/>
        <sz val="18"/>
        <rFont val="Calibri"/>
        <family val="2"/>
      </rPr>
      <t>(</t>
    </r>
    <r>
      <rPr>
        <b/>
        <sz val="18"/>
        <rFont val="微軟正黑體"/>
        <family val="2"/>
      </rPr>
      <t>女子乙組</t>
    </r>
    <r>
      <rPr>
        <b/>
        <sz val="18"/>
        <rFont val="Calibri"/>
        <family val="2"/>
      </rPr>
      <t>)</t>
    </r>
  </si>
  <si>
    <t>21:13, 21:23</t>
  </si>
  <si>
    <t>9:21, 21:15</t>
  </si>
  <si>
    <t>21:12, 21:5</t>
  </si>
  <si>
    <t>12:21, 15:21</t>
  </si>
  <si>
    <t>Ga.me. Ti.me</t>
  </si>
  <si>
    <t>17:21, 21:6</t>
  </si>
  <si>
    <t>21:17, 21:14</t>
  </si>
  <si>
    <t>21:5, 21:6</t>
  </si>
  <si>
    <t>21:17, 21:23</t>
  </si>
  <si>
    <t>21:9, 21:12</t>
  </si>
  <si>
    <t>21:18, 21:16</t>
  </si>
  <si>
    <t>Puipui</t>
  </si>
  <si>
    <t>21:16, 18:21</t>
  </si>
  <si>
    <t>21:4, 21:6</t>
  </si>
  <si>
    <t>21:15, 21:13</t>
  </si>
  <si>
    <t>9:21, 16:21</t>
  </si>
  <si>
    <t>21:17, 21:10</t>
  </si>
  <si>
    <t>5:21, 3:21</t>
  </si>
  <si>
    <t>9:21, 19:21</t>
  </si>
  <si>
    <t>10:21, 9:21</t>
  </si>
  <si>
    <t>21:13, 21:16</t>
  </si>
  <si>
    <t>21:10, 21:7</t>
  </si>
  <si>
    <t>求奇No show</t>
  </si>
  <si>
    <t>21:10, 14:21</t>
  </si>
  <si>
    <t>21:8, 21:5</t>
  </si>
  <si>
    <t>SODA No show</t>
  </si>
  <si>
    <r>
      <rPr>
        <b/>
        <sz val="14"/>
        <rFont val="Microsoft YaHei"/>
        <family val="2"/>
      </rPr>
      <t xml:space="preserve">香港沙灘排球巡迴賽 </t>
    </r>
    <r>
      <rPr>
        <b/>
        <sz val="14"/>
        <rFont val="Calibri"/>
        <family val="2"/>
      </rPr>
      <t xml:space="preserve">2021 </t>
    </r>
    <r>
      <rPr>
        <b/>
        <sz val="14"/>
        <rFont val="Microsoft YaHei"/>
        <family val="2"/>
      </rPr>
      <t>黃金站</t>
    </r>
  </si>
  <si>
    <t>Hong Kong Beach Volleyball Tour 2021 GC Leg Time-table</t>
  </si>
  <si>
    <t>The Playing Schedule MAY BE affected by the progression of previous match days</t>
  </si>
  <si>
    <t>賽程可能被上周未能完成的賽事之進度影響</t>
  </si>
  <si>
    <r>
      <rPr>
        <b/>
        <u val="single"/>
        <sz val="12"/>
        <rFont val="Calibri"/>
        <family val="2"/>
      </rPr>
      <t xml:space="preserve">2021/06/05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</si>
  <si>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2021/06/06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</si>
  <si>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1st digit</t>
  </si>
  <si>
    <r>
      <rPr>
        <sz val="11"/>
        <color indexed="8"/>
        <rFont val="Calibri"/>
        <family val="2"/>
      </rPr>
      <t xml:space="preserve">M -Men </t>
    </r>
    <r>
      <rPr>
        <sz val="11"/>
        <color indexed="8"/>
        <rFont val="新細明體"/>
        <family val="1"/>
      </rPr>
      <t>男</t>
    </r>
  </si>
  <si>
    <r>
      <rPr>
        <sz val="11"/>
        <color indexed="8"/>
        <rFont val="Calibri"/>
        <family val="2"/>
      </rPr>
      <t>W-Women</t>
    </r>
    <r>
      <rPr>
        <sz val="11"/>
        <color indexed="8"/>
        <rFont val="新細明體"/>
        <family val="1"/>
      </rPr>
      <t>女</t>
    </r>
  </si>
  <si>
    <t>Starting Time</t>
  </si>
  <si>
    <t>Serial No.</t>
  </si>
  <si>
    <r>
      <rPr>
        <sz val="12"/>
        <color indexed="8"/>
        <rFont val="Calibri"/>
        <family val="2"/>
      </rPr>
      <t xml:space="preserve">COURT </t>
    </r>
    <r>
      <rPr>
        <sz val="12"/>
        <color indexed="8"/>
        <rFont val="新細明體"/>
        <family val="1"/>
      </rPr>
      <t>球場 黃金海岸</t>
    </r>
    <r>
      <rPr>
        <sz val="12"/>
        <color indexed="8"/>
        <rFont val="Calibri"/>
        <family val="2"/>
      </rPr>
      <t>(</t>
    </r>
    <r>
      <rPr>
        <sz val="12"/>
        <color indexed="8"/>
        <rFont val="新細明體"/>
        <family val="1"/>
      </rPr>
      <t>新咖啡灣</t>
    </r>
    <r>
      <rPr>
        <sz val="12"/>
        <color indexed="8"/>
        <rFont val="Calibri"/>
        <family val="2"/>
      </rPr>
      <t>)</t>
    </r>
    <r>
      <rPr>
        <sz val="12"/>
        <color indexed="8"/>
        <rFont val="新細明體"/>
        <family val="1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</si>
  <si>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</si>
  <si>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</si>
  <si>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</si>
  <si>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</si>
  <si>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</si>
  <si>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</si>
  <si>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</si>
  <si>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MAA1</t>
  </si>
  <si>
    <t>4th digit</t>
  </si>
  <si>
    <t>比賽編號</t>
  </si>
  <si>
    <t>MAA2</t>
  </si>
  <si>
    <t>MAA3</t>
  </si>
  <si>
    <t>MAA4</t>
  </si>
  <si>
    <t>LUNCH BREAK (T.B.C.)</t>
  </si>
  <si>
    <t>MAA5</t>
  </si>
  <si>
    <t>WAA1</t>
  </si>
  <si>
    <t>MAA6</t>
  </si>
  <si>
    <t>WAA2</t>
  </si>
  <si>
    <t>MAA7</t>
  </si>
  <si>
    <t>WAA3</t>
  </si>
  <si>
    <t>MAA8</t>
  </si>
  <si>
    <t>WAA4</t>
  </si>
  <si>
    <r>
      <rPr>
        <b/>
        <u val="single"/>
        <sz val="12"/>
        <rFont val="Calibri"/>
        <family val="2"/>
      </rPr>
      <t xml:space="preserve">2021/06/12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</si>
  <si>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2021/06/13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</si>
  <si>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WAA5</t>
  </si>
  <si>
    <t>WAA6</t>
  </si>
  <si>
    <t>WAA7</t>
  </si>
  <si>
    <t>WAA8</t>
  </si>
  <si>
    <t>WAA9</t>
  </si>
  <si>
    <t>MAA9</t>
  </si>
  <si>
    <t>WAA10</t>
  </si>
  <si>
    <t>MAA10</t>
  </si>
  <si>
    <t>WAA11</t>
  </si>
  <si>
    <t>MAA11</t>
  </si>
  <si>
    <t>WAA12</t>
  </si>
  <si>
    <t>MAA12</t>
  </si>
  <si>
    <r>
      <rPr>
        <b/>
        <u val="single"/>
        <sz val="12"/>
        <rFont val="Calibri"/>
        <family val="2"/>
      </rPr>
      <t xml:space="preserve">2021/06/19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</si>
  <si>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2021/06/20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</si>
  <si>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MAA13</t>
  </si>
  <si>
    <t>MAA14</t>
  </si>
  <si>
    <t>MAA15</t>
  </si>
  <si>
    <t>MAA16</t>
  </si>
  <si>
    <t>MAA17</t>
  </si>
  <si>
    <t>WAA13</t>
  </si>
  <si>
    <t>MAA18</t>
  </si>
  <si>
    <t>WAA14</t>
  </si>
  <si>
    <t>MAA19</t>
  </si>
  <si>
    <t>WAA15</t>
  </si>
  <si>
    <t>MAA20</t>
  </si>
  <si>
    <t>WAA16</t>
  </si>
  <si>
    <r>
      <rPr>
        <b/>
        <u val="single"/>
        <sz val="12"/>
        <rFont val="Calibri"/>
        <family val="2"/>
      </rPr>
      <t xml:space="preserve">2021/06/26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</si>
  <si>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2021/06/27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</si>
  <si>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沒有賽事</t>
  </si>
  <si>
    <r>
      <rPr>
        <b/>
        <u val="single"/>
        <sz val="12"/>
        <rFont val="Calibri"/>
        <family val="2"/>
      </rPr>
      <t xml:space="preserve">2021/07/03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</si>
  <si>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2021/07/04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</si>
  <si>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WAA17</t>
  </si>
  <si>
    <t>WAA18</t>
  </si>
  <si>
    <t>WAA19</t>
  </si>
  <si>
    <t>WAA20</t>
  </si>
  <si>
    <t>WAA21</t>
  </si>
  <si>
    <t>WQT1</t>
  </si>
  <si>
    <t>WAA22</t>
  </si>
  <si>
    <t>MAA22</t>
  </si>
  <si>
    <t>WAA23</t>
  </si>
  <si>
    <t>MAA23</t>
  </si>
  <si>
    <t>WAA24</t>
  </si>
  <si>
    <t>MAA24</t>
  </si>
  <si>
    <r>
      <rPr>
        <b/>
        <u val="single"/>
        <sz val="12"/>
        <rFont val="Calibri"/>
        <family val="2"/>
      </rPr>
      <t xml:space="preserve">2021/07/10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</si>
  <si>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2021/07/11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</si>
  <si>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WAA25</t>
  </si>
  <si>
    <t>WAA26</t>
  </si>
  <si>
    <t>WAA27</t>
  </si>
  <si>
    <t>WAA28</t>
  </si>
  <si>
    <t>MAA25</t>
  </si>
  <si>
    <t>MQT1</t>
  </si>
  <si>
    <t>MAA26</t>
  </si>
  <si>
    <t>MQT2</t>
  </si>
  <si>
    <t>MAA28</t>
  </si>
  <si>
    <t>MQT3</t>
  </si>
  <si>
    <t>MQT4</t>
  </si>
  <si>
    <t>MQT5</t>
  </si>
  <si>
    <r>
      <rPr>
        <b/>
        <u val="single"/>
        <sz val="12"/>
        <rFont val="Calibri"/>
        <family val="2"/>
      </rPr>
      <t xml:space="preserve">2021/07/17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</si>
  <si>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2021/07/18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</si>
  <si>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MQT6</t>
  </si>
  <si>
    <t>MQT10</t>
  </si>
  <si>
    <t>MQT7</t>
  </si>
  <si>
    <t>MQT11</t>
  </si>
  <si>
    <t>MQT8</t>
  </si>
  <si>
    <t>MQT12</t>
  </si>
  <si>
    <t>MQT9</t>
  </si>
  <si>
    <t>MQT13</t>
  </si>
  <si>
    <r>
      <rPr>
        <b/>
        <u val="single"/>
        <sz val="12"/>
        <rFont val="Calibri"/>
        <family val="2"/>
      </rPr>
      <t xml:space="preserve">2021/07/24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</si>
  <si>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2021/07/25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</si>
  <si>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WBC1</t>
  </si>
  <si>
    <t>WBC2</t>
  </si>
  <si>
    <t>WBD1</t>
  </si>
  <si>
    <t>WBD2</t>
  </si>
  <si>
    <t>WBC3</t>
  </si>
  <si>
    <t>WBC4</t>
  </si>
  <si>
    <t>WBD3</t>
  </si>
  <si>
    <t>WBD4</t>
  </si>
  <si>
    <t>WBE1</t>
  </si>
  <si>
    <t>WBE2</t>
  </si>
  <si>
    <t>WBA1</t>
  </si>
  <si>
    <t>WBA2</t>
  </si>
  <si>
    <t>WBF1</t>
  </si>
  <si>
    <t>WBF2</t>
  </si>
  <si>
    <t>WBB1</t>
  </si>
  <si>
    <t>WBB2</t>
  </si>
  <si>
    <t>WBC6</t>
  </si>
  <si>
    <t>WBC5</t>
  </si>
  <si>
    <t>WBA3</t>
  </si>
  <si>
    <t>WBA4</t>
  </si>
  <si>
    <t>WBD6</t>
  </si>
  <si>
    <t>WBD5</t>
  </si>
  <si>
    <t>WBB3</t>
  </si>
  <si>
    <t>WBB4</t>
  </si>
  <si>
    <r>
      <rPr>
        <b/>
        <u val="single"/>
        <sz val="12"/>
        <rFont val="Calibri"/>
        <family val="2"/>
      </rPr>
      <t xml:space="preserve">2021/07/31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</si>
  <si>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2021/08/01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</si>
  <si>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WBG1</t>
  </si>
  <si>
    <t>WBG2</t>
  </si>
  <si>
    <t>WBH1</t>
  </si>
  <si>
    <t>WBH2</t>
  </si>
  <si>
    <t>WBG3</t>
  </si>
  <si>
    <t>WBG4</t>
  </si>
  <si>
    <t>WBH3</t>
  </si>
  <si>
    <t>WBH4</t>
  </si>
  <si>
    <t>WBA6</t>
  </si>
  <si>
    <t>WBA5</t>
  </si>
  <si>
    <t>WBE3</t>
  </si>
  <si>
    <t>WBE4</t>
  </si>
  <si>
    <t>WBB5</t>
  </si>
  <si>
    <t>WBB6</t>
  </si>
  <si>
    <t>WBF3</t>
  </si>
  <si>
    <t>WBF4</t>
  </si>
  <si>
    <t>WBG6</t>
  </si>
  <si>
    <t>WBG5</t>
  </si>
  <si>
    <t>WBE6</t>
  </si>
  <si>
    <t>WBE5</t>
  </si>
  <si>
    <t>WBH6</t>
  </si>
  <si>
    <t>WBH5</t>
  </si>
  <si>
    <t>WBF6</t>
  </si>
  <si>
    <t>WBF5</t>
  </si>
  <si>
    <r>
      <rPr>
        <b/>
        <u val="single"/>
        <sz val="12"/>
        <rFont val="Calibri"/>
        <family val="2"/>
      </rPr>
      <t xml:space="preserve">2021/08/07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</si>
  <si>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2021/08/08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</si>
  <si>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MBC1</t>
  </si>
  <si>
    <t>MBC2</t>
  </si>
  <si>
    <t>MBD1</t>
  </si>
  <si>
    <t>MBD2</t>
  </si>
  <si>
    <t>MBC3</t>
  </si>
  <si>
    <t>MBC4</t>
  </si>
  <si>
    <t>MBD3</t>
  </si>
  <si>
    <t>MBD4</t>
  </si>
  <si>
    <t>MBE1</t>
  </si>
  <si>
    <t>MBE2</t>
  </si>
  <si>
    <t>MBA1</t>
  </si>
  <si>
    <t>MBA2</t>
  </si>
  <si>
    <t>MBF1</t>
  </si>
  <si>
    <t>MBF2</t>
  </si>
  <si>
    <t>MBB1</t>
  </si>
  <si>
    <t>MBB2</t>
  </si>
  <si>
    <t>MBC6</t>
  </si>
  <si>
    <t>MBC5</t>
  </si>
  <si>
    <t>MBA3</t>
  </si>
  <si>
    <t>MBA4</t>
  </si>
  <si>
    <t>MBD6</t>
  </si>
  <si>
    <t>MBD5</t>
  </si>
  <si>
    <t>MBB3</t>
  </si>
  <si>
    <t>MBB4</t>
  </si>
  <si>
    <r>
      <rPr>
        <b/>
        <u val="single"/>
        <sz val="12"/>
        <rFont val="Calibri"/>
        <family val="2"/>
      </rPr>
      <t xml:space="preserve">2021/08/14 (Saturday </t>
    </r>
    <r>
      <rPr>
        <b/>
        <u val="single"/>
        <sz val="12"/>
        <rFont val="Microsoft YaHei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</si>
  <si>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u val="single"/>
        <sz val="12"/>
        <rFont val="Calibri"/>
        <family val="2"/>
      </rPr>
      <t xml:space="preserve">2021/08/15 (Sunday </t>
    </r>
    <r>
      <rPr>
        <b/>
        <u val="single"/>
        <sz val="12"/>
        <rFont val="Microsoft YaHei"/>
        <family val="2"/>
      </rPr>
      <t>星期日</t>
    </r>
    <r>
      <rPr>
        <b/>
        <u val="single"/>
        <sz val="12"/>
        <rFont val="Calibri"/>
        <family val="2"/>
      </rPr>
      <t>)</t>
    </r>
  </si>
  <si>
    <t>MBG1</t>
  </si>
  <si>
    <t>MBG2</t>
  </si>
  <si>
    <t>MBH1</t>
  </si>
  <si>
    <t>MBH2</t>
  </si>
  <si>
    <t>MBG3</t>
  </si>
  <si>
    <t>MBG4</t>
  </si>
  <si>
    <t>MBH3</t>
  </si>
  <si>
    <t>MBH4</t>
  </si>
  <si>
    <t>MBA6</t>
  </si>
  <si>
    <t>MBA5</t>
  </si>
  <si>
    <t>MBE3</t>
  </si>
  <si>
    <t>MBE4</t>
  </si>
  <si>
    <t>MBB6</t>
  </si>
  <si>
    <t>MBB5</t>
  </si>
  <si>
    <t>MBF3</t>
  </si>
  <si>
    <t>MBF4</t>
  </si>
  <si>
    <t>MBG6</t>
  </si>
  <si>
    <t>MBG5</t>
  </si>
  <si>
    <t>MBE6</t>
  </si>
  <si>
    <t>MBE5</t>
  </si>
  <si>
    <t>MBH6</t>
  </si>
  <si>
    <t>MBH5</t>
  </si>
  <si>
    <t>MBF6</t>
  </si>
  <si>
    <t>MBF5</t>
  </si>
  <si>
    <t>16:21, 21:14</t>
  </si>
  <si>
    <r>
      <t>葵青</t>
    </r>
    <r>
      <rPr>
        <sz val="14"/>
        <rFont val="Calibri"/>
        <family val="2"/>
      </rPr>
      <t>-</t>
    </r>
    <r>
      <rPr>
        <sz val="14"/>
        <rFont val="Microsoft YaHei"/>
        <family val="2"/>
      </rPr>
      <t>啫喱冰冰</t>
    </r>
  </si>
  <si>
    <t>21:16, 21:5</t>
  </si>
  <si>
    <t>21:15, 21:8</t>
  </si>
  <si>
    <t>21:13, 21:19</t>
  </si>
  <si>
    <t>21:12, 21:9</t>
  </si>
  <si>
    <t>17:21, 21:13</t>
  </si>
  <si>
    <t>18:21, 21:19</t>
  </si>
  <si>
    <t>葵青-啫喱冰冰</t>
  </si>
  <si>
    <t>雙兒 No show</t>
  </si>
  <si>
    <t>TKP老野 No show</t>
  </si>
  <si>
    <t>TKP老野</t>
  </si>
  <si>
    <t>Both teams no show</t>
  </si>
  <si>
    <t>GG No show</t>
  </si>
  <si>
    <t>/</t>
  </si>
  <si>
    <t>21:15, 14:21</t>
  </si>
  <si>
    <t>21:19, 18:21</t>
  </si>
  <si>
    <t>21:19, 21:13</t>
  </si>
  <si>
    <t>21:12, 21:12</t>
  </si>
  <si>
    <t>2021/08/21 (Saturday 星期六)</t>
  </si>
  <si>
    <t>2021/08/22 (Sunday 星期日)</t>
  </si>
  <si>
    <r>
      <t xml:space="preserve">M -Men </t>
    </r>
    <r>
      <rPr>
        <sz val="11"/>
        <color indexed="8"/>
        <rFont val="Calibri"/>
        <family val="2"/>
      </rPr>
      <t>男</t>
    </r>
  </si>
  <si>
    <r>
      <t>W-Women</t>
    </r>
    <r>
      <rPr>
        <sz val="11"/>
        <color indexed="8"/>
        <rFont val="Calibri"/>
        <family val="2"/>
      </rPr>
      <t>女</t>
    </r>
  </si>
  <si>
    <r>
      <t xml:space="preserve">COURT </t>
    </r>
    <r>
      <rPr>
        <sz val="12"/>
        <color indexed="8"/>
        <rFont val="Calibri"/>
        <family val="2"/>
      </rPr>
      <t>球場 黃金海岸(新咖啡灣)泳灘</t>
    </r>
  </si>
  <si>
    <r>
      <rPr>
        <sz val="11"/>
        <color indexed="8"/>
        <rFont val="Calibri"/>
        <family val="2"/>
      </rPr>
      <t>組別</t>
    </r>
  </si>
  <si>
    <t>Division</t>
  </si>
  <si>
    <r>
      <rPr>
        <sz val="12"/>
        <color indexed="8"/>
        <rFont val="Calibri"/>
        <family val="2"/>
      </rPr>
      <t>開始時間</t>
    </r>
  </si>
  <si>
    <r>
      <rPr>
        <sz val="12"/>
        <color indexed="8"/>
        <rFont val="Calibri"/>
        <family val="2"/>
      </rPr>
      <t>序號</t>
    </r>
  </si>
  <si>
    <r>
      <rPr>
        <sz val="11"/>
        <color indexed="8"/>
        <rFont val="Calibri"/>
        <family val="2"/>
      </rPr>
      <t>分組</t>
    </r>
  </si>
  <si>
    <t>MB1</t>
  </si>
  <si>
    <t>WB1</t>
  </si>
  <si>
    <r>
      <rPr>
        <sz val="11"/>
        <color indexed="8"/>
        <rFont val="Calibri"/>
        <family val="2"/>
      </rPr>
      <t>比賽編號</t>
    </r>
  </si>
  <si>
    <t>2021/08/28 (Saturday 星期六)</t>
  </si>
  <si>
    <t>2021/08/29 (Sunday 星期日)</t>
  </si>
  <si>
    <t>2021/09/04 (Saturday 星期六)</t>
  </si>
  <si>
    <t>2021/09/05 (Sunday 星期日)</t>
  </si>
  <si>
    <t>8:21, 6:21</t>
  </si>
  <si>
    <t>21:15, 19:21</t>
  </si>
  <si>
    <t>AE No show</t>
  </si>
  <si>
    <t>21:14, 22:20</t>
  </si>
  <si>
    <t>21:18, 21:11</t>
  </si>
  <si>
    <t>23:25, 21:15</t>
  </si>
  <si>
    <t>21:14, 21:8</t>
  </si>
  <si>
    <t>22:20, 17:21</t>
  </si>
  <si>
    <t>21:7, 21:6</t>
  </si>
  <si>
    <t>21:19, 21:10</t>
  </si>
  <si>
    <t>21:14, 21:9</t>
  </si>
  <si>
    <t>21:16, 21:13</t>
  </si>
  <si>
    <t>21:7, 21:9</t>
  </si>
  <si>
    <t>15:21, 19:21</t>
  </si>
  <si>
    <t>21:11, 21:5</t>
  </si>
  <si>
    <t>13:21, 7:21</t>
  </si>
  <si>
    <t>23:21, 20:22</t>
  </si>
  <si>
    <t>21:8, 21:15</t>
  </si>
  <si>
    <t>IVE雙雷</t>
  </si>
  <si>
    <t>隨心91ers</t>
  </si>
  <si>
    <t>12:21, 11:21</t>
  </si>
  <si>
    <t>21:13, 21:7</t>
  </si>
  <si>
    <t>11:21, 17:21</t>
  </si>
  <si>
    <t>每次轉場都有短暫的飲水時間</t>
  </si>
  <si>
    <t>Quick water breaks at side changes is permitted</t>
  </si>
  <si>
    <t>馬凱琦</t>
  </si>
  <si>
    <t>ANTS No show</t>
  </si>
  <si>
    <t>17:21, 15:21</t>
  </si>
  <si>
    <t>13:21, 21:18</t>
  </si>
  <si>
    <t>21:17, 22:20</t>
  </si>
  <si>
    <t>21:15, 21:15</t>
  </si>
  <si>
    <t>Alps 大埔</t>
  </si>
  <si>
    <t>21:6, 21:7</t>
  </si>
  <si>
    <t>21:16, 24:22</t>
  </si>
  <si>
    <t>培正 No show</t>
  </si>
  <si>
    <t>14:21, 21:15</t>
  </si>
  <si>
    <t>21:16, 21:14</t>
  </si>
  <si>
    <t>21:11, 21:14</t>
  </si>
  <si>
    <t>21:15, 21:7</t>
  </si>
  <si>
    <t>21:12, 25:23</t>
  </si>
  <si>
    <t>21:13, 21:10</t>
  </si>
  <si>
    <t>22:20, 10:21</t>
  </si>
  <si>
    <t>21:15, 21:12</t>
  </si>
  <si>
    <t>21:18, 21:18</t>
  </si>
  <si>
    <t>19:21, 21:17</t>
  </si>
  <si>
    <t>21:18, 21:12</t>
  </si>
  <si>
    <t>0 pts</t>
  </si>
  <si>
    <t>21:11, 21:9</t>
  </si>
  <si>
    <t>12:21, 5:21</t>
  </si>
  <si>
    <t>7:21, 13:21</t>
  </si>
  <si>
    <t>17:21, 16:21</t>
  </si>
  <si>
    <t>21:19, 21:6</t>
  </si>
  <si>
    <t>21:18, 11:21, 15:8</t>
  </si>
  <si>
    <t>21:7, 21:14</t>
  </si>
  <si>
    <t>7:21, 18:21</t>
  </si>
  <si>
    <t>13:21, 13:21</t>
  </si>
  <si>
    <t>21:14, 21:11</t>
  </si>
  <si>
    <t>21:15, 21:19</t>
  </si>
  <si>
    <t>22:20, 21:15</t>
  </si>
  <si>
    <t>11:21, 12:21</t>
  </si>
  <si>
    <t>21:15, 10:21, 8:15</t>
  </si>
  <si>
    <t>17:21, 11:21</t>
  </si>
  <si>
    <t>21:14, 18:21, 15:11</t>
  </si>
  <si>
    <t>21:13, 18:21, 15:9</t>
  </si>
  <si>
    <t>21:23, 17:21</t>
  </si>
  <si>
    <t>21:23, 21:19, 10:15</t>
  </si>
  <si>
    <t>19:21, 21:18, 13:15</t>
  </si>
  <si>
    <t>名次</t>
  </si>
  <si>
    <t>隊伍</t>
  </si>
  <si>
    <t>球員</t>
  </si>
  <si>
    <t>2021香港沙灘排球巡迴賽-黃金站 - 女甲 最終排名</t>
  </si>
  <si>
    <t>盧慧恩</t>
  </si>
  <si>
    <t>2021香港沙灘排球巡迴賽-黃金站 - 男甲 最終排名</t>
  </si>
  <si>
    <t>2021香港沙灘排球巡迴賽-黃金站 - 女乙 最終排名</t>
  </si>
  <si>
    <t>2021香港沙灘排球巡迴賽-黃金站 - 男乙 最終排名</t>
  </si>
  <si>
    <t>麥_xD865__xDCD9_恩</t>
  </si>
  <si>
    <t>25:23, 21:15</t>
  </si>
  <si>
    <t>15:21, 21:14, 13:15</t>
  </si>
  <si>
    <t>21:18, 27:29, 17:15</t>
  </si>
  <si>
    <t>17:21, 17:21</t>
  </si>
  <si>
    <t>21:13, 13:21, 15:12</t>
  </si>
  <si>
    <t>17:21, 21:13, 15:12</t>
  </si>
  <si>
    <t>9:21, 21:13</t>
  </si>
  <si>
    <r>
      <t xml:space="preserve">羚靖 </t>
    </r>
    <r>
      <rPr>
        <sz val="14"/>
        <rFont val="Calibri"/>
        <family val="2"/>
      </rPr>
      <t>forfeits due to injury</t>
    </r>
  </si>
  <si>
    <t>稻八 forfeits due to injury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</si>
</sst>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hh:mm"/>
    <numFmt numFmtId="169" formatCode="[$-404]hh:mm"/>
  </numFmts>
  <fonts count="131">
    <font>
      <sz val="12"/>
      <name val="Microsoft YaHei"/>
      <family val="2"/>
    </font>
    <font>
      <sz val="10"/>
      <name val="Arial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sz val="12"/>
      <name val="微軟正黑體"/>
      <family val="2"/>
    </font>
    <font>
      <b/>
      <sz val="2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微軟正黑體"/>
      <family val="2"/>
    </font>
    <font>
      <b/>
      <sz val="16"/>
      <name val="Microsoft YaHei"/>
      <family val="2"/>
    </font>
    <font>
      <b/>
      <sz val="16"/>
      <name val="微軟正黑體"/>
      <family val="2"/>
    </font>
    <font>
      <b/>
      <sz val="12"/>
      <name val="Microsoft YaHei"/>
      <family val="2"/>
    </font>
    <font>
      <b/>
      <sz val="18"/>
      <name val="Calibri"/>
      <family val="2"/>
    </font>
    <font>
      <b/>
      <sz val="16"/>
      <color indexed="12"/>
      <name val="微軟正黑體"/>
      <family val="2"/>
    </font>
    <font>
      <b/>
      <sz val="16"/>
      <color indexed="12"/>
      <name val="Calibri"/>
      <family val="2"/>
    </font>
    <font>
      <b/>
      <sz val="16"/>
      <color indexed="10"/>
      <name val="Microsoft YaHei"/>
      <family val="2"/>
    </font>
    <font>
      <b/>
      <sz val="14"/>
      <color indexed="12"/>
      <name val="微軟正黑體"/>
      <family val="2"/>
    </font>
    <font>
      <b/>
      <sz val="14"/>
      <name val="Calibri"/>
      <family val="2"/>
    </font>
    <font>
      <b/>
      <sz val="14"/>
      <name val="Microsoft YaHei"/>
      <family val="2"/>
    </font>
    <font>
      <b/>
      <sz val="14"/>
      <color indexed="48"/>
      <name val="Calibri"/>
      <family val="2"/>
    </font>
    <font>
      <b/>
      <sz val="14"/>
      <name val="微軟正黑體"/>
      <family val="2"/>
    </font>
    <font>
      <sz val="14"/>
      <name val="Microsoft YaHe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微軟正黑體"/>
      <family val="2"/>
    </font>
    <font>
      <sz val="10"/>
      <name val="Microsoft YaHei"/>
      <family val="2"/>
    </font>
    <font>
      <sz val="12"/>
      <color indexed="8"/>
      <name val="Microsoft YaHei"/>
      <family val="2"/>
    </font>
    <font>
      <sz val="12"/>
      <color indexed="8"/>
      <name val="新細明體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Microsoft YaHei"/>
      <family val="2"/>
    </font>
    <font>
      <b/>
      <u val="single"/>
      <sz val="12"/>
      <color indexed="8"/>
      <name val="Microsoft YaHei"/>
      <family val="2"/>
    </font>
    <font>
      <u val="single"/>
      <sz val="12"/>
      <color indexed="8"/>
      <name val="Microsoft YaHei"/>
      <family val="2"/>
    </font>
    <font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4"/>
      <name val="Microsoft YaHei"/>
      <family val="2"/>
    </font>
    <font>
      <b/>
      <sz val="18"/>
      <name val="微軟正黑體"/>
      <family val="2"/>
    </font>
    <font>
      <b/>
      <sz val="18"/>
      <name val="新細明體"/>
      <family val="1"/>
    </font>
    <font>
      <sz val="14"/>
      <name val="新細明體"/>
      <family val="1"/>
    </font>
    <font>
      <b/>
      <i/>
      <sz val="14"/>
      <name val="Microsoft YaHe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2"/>
      <color indexed="12"/>
      <name val="Microsoft YaHei"/>
      <family val="2"/>
    </font>
    <font>
      <b/>
      <sz val="12"/>
      <color indexed="8"/>
      <name val="細明體"/>
      <family val="3"/>
    </font>
    <font>
      <b/>
      <i/>
      <u val="single"/>
      <sz val="12"/>
      <color indexed="8"/>
      <name val="Microsoft YaHei"/>
      <family val="2"/>
    </font>
    <font>
      <sz val="12"/>
      <color indexed="10"/>
      <name val="Calibri"/>
      <family val="2"/>
    </font>
    <font>
      <sz val="12"/>
      <color indexed="10"/>
      <name val="Microsoft YaHei"/>
      <family val="2"/>
    </font>
    <font>
      <b/>
      <i/>
      <u val="single"/>
      <sz val="12"/>
      <color indexed="8"/>
      <name val="Calibri"/>
      <family val="2"/>
    </font>
    <font>
      <sz val="16"/>
      <name val="Microsoft YaHei"/>
      <family val="2"/>
    </font>
    <font>
      <b/>
      <sz val="16"/>
      <name val="Calibri"/>
      <family val="2"/>
    </font>
    <font>
      <b/>
      <sz val="16"/>
      <color indexed="4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Microsoft YaHei"/>
      <family val="2"/>
    </font>
    <font>
      <b/>
      <sz val="12"/>
      <name val="細明體"/>
      <family val="3"/>
    </font>
    <font>
      <b/>
      <sz val="12"/>
      <name val="Calibri"/>
      <family val="2"/>
    </font>
    <font>
      <b/>
      <sz val="18"/>
      <name val="Microsoft YaHei"/>
      <family val="2"/>
    </font>
    <font>
      <b/>
      <i/>
      <sz val="14"/>
      <name val="新細明體"/>
      <family val="1"/>
    </font>
    <font>
      <sz val="14"/>
      <name val="細明體"/>
      <family val="3"/>
    </font>
    <font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2"/>
      <name val="Microsoft YaHei"/>
      <family val="2"/>
    </font>
    <font>
      <b/>
      <u val="single"/>
      <sz val="12"/>
      <name val="Calibri"/>
      <family val="2"/>
    </font>
    <font>
      <b/>
      <sz val="12"/>
      <color indexed="8"/>
      <name val="新細明體"/>
      <family val="1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sz val="11"/>
      <name val="Microsoft YaHei"/>
      <family val="2"/>
    </font>
    <font>
      <i/>
      <sz val="12"/>
      <name val="Microsoft YaHei"/>
      <family val="2"/>
    </font>
    <font>
      <sz val="11"/>
      <color indexed="8"/>
      <name val="Microsoft YaHei"/>
      <family val="2"/>
    </font>
    <font>
      <sz val="32"/>
      <name val="Microsoft YaHei"/>
      <family val="2"/>
    </font>
    <font>
      <sz val="11"/>
      <name val="Calibri"/>
      <family val="2"/>
    </font>
    <font>
      <sz val="8"/>
      <name val="Microsoft YaHei"/>
      <family val="2"/>
    </font>
    <font>
      <sz val="36"/>
      <name val="Microsoft YaHei"/>
      <family val="2"/>
    </font>
    <font>
      <sz val="12"/>
      <color indexed="8"/>
      <name val="Microsoft JhengHei UI"/>
      <family val="2"/>
    </font>
    <font>
      <sz val="9"/>
      <name val="Microsoft YaHei"/>
      <family val="2"/>
    </font>
    <font>
      <sz val="12"/>
      <color indexed="60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9"/>
      <name val="Calibri"/>
      <family val="1"/>
    </font>
    <font>
      <sz val="18"/>
      <color indexed="54"/>
      <name val="Calibri Light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2"/>
    </font>
    <font>
      <sz val="12"/>
      <color theme="1"/>
      <name val="微軟正黑體"/>
      <family val="2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Border="0" applyProtection="0">
      <alignment vertical="center"/>
    </xf>
    <xf numFmtId="0" fontId="3" fillId="2" borderId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6" fillId="5" borderId="1" applyNumberFormat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Protection="0">
      <alignment vertical="center"/>
    </xf>
    <xf numFmtId="0" fontId="6" fillId="5" borderId="1" applyProtection="0">
      <alignment vertical="center"/>
    </xf>
    <xf numFmtId="0" fontId="8" fillId="0" borderId="0">
      <alignment/>
      <protection/>
    </xf>
    <xf numFmtId="0" fontId="9" fillId="0" borderId="3" applyNumberFormat="0" applyFill="0" applyProtection="0">
      <alignment vertical="center"/>
    </xf>
    <xf numFmtId="0" fontId="9" fillId="0" borderId="3" applyProtection="0">
      <alignment vertical="center"/>
    </xf>
    <xf numFmtId="0" fontId="8" fillId="0" borderId="0">
      <alignment/>
      <protection/>
    </xf>
    <xf numFmtId="0" fontId="2" fillId="0" borderId="0">
      <alignment vertical="center"/>
      <protection/>
    </xf>
    <xf numFmtId="0" fontId="10" fillId="0" borderId="4" applyNumberFormat="0" applyFill="0" applyProtection="0">
      <alignment vertical="center"/>
    </xf>
    <xf numFmtId="0" fontId="10" fillId="0" borderId="4" applyProtection="0">
      <alignment vertical="center"/>
    </xf>
    <xf numFmtId="0" fontId="2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Protection="0">
      <alignment vertical="center"/>
    </xf>
    <xf numFmtId="0" fontId="13" fillId="6" borderId="6" applyNumberFormat="0" applyProtection="0">
      <alignment vertical="center"/>
    </xf>
    <xf numFmtId="0" fontId="13" fillId="6" borderId="6" applyProtection="0">
      <alignment vertical="center"/>
    </xf>
    <xf numFmtId="0" fontId="14" fillId="7" borderId="7" applyNumberFormat="0" applyProtection="0">
      <alignment vertical="center"/>
    </xf>
    <xf numFmtId="0" fontId="14" fillId="7" borderId="7" applyProtection="0">
      <alignment vertical="center"/>
    </xf>
    <xf numFmtId="0" fontId="5" fillId="4" borderId="0" applyBorder="0" applyProtection="0">
      <alignment vertical="center"/>
    </xf>
    <xf numFmtId="0" fontId="16" fillId="7" borderId="6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Border="0" applyProtection="0">
      <alignment vertical="center"/>
    </xf>
    <xf numFmtId="0" fontId="16" fillId="7" borderId="6" applyProtection="0">
      <alignment vertical="center"/>
    </xf>
    <xf numFmtId="0" fontId="19" fillId="8" borderId="8" applyNumberFormat="0" applyProtection="0">
      <alignment vertical="center"/>
    </xf>
    <xf numFmtId="0" fontId="19" fillId="8" borderId="8" applyProtection="0">
      <alignment vertical="center"/>
    </xf>
    <xf numFmtId="0" fontId="20" fillId="0" borderId="9" applyNumberFormat="0" applyFill="0" applyProtection="0">
      <alignment vertical="center"/>
    </xf>
    <xf numFmtId="0" fontId="20" fillId="0" borderId="9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9" borderId="0" applyNumberFormat="0" applyBorder="0" applyProtection="0">
      <alignment vertical="center"/>
    </xf>
    <xf numFmtId="0" fontId="15" fillId="9" borderId="0" applyBorder="0" applyProtection="0">
      <alignment vertical="center"/>
    </xf>
    <xf numFmtId="0" fontId="15" fillId="10" borderId="0" applyNumberFormat="0" applyBorder="0" applyProtection="0">
      <alignment vertical="center"/>
    </xf>
    <xf numFmtId="0" fontId="15" fillId="10" borderId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15" fillId="11" borderId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2" borderId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3" borderId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14" borderId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Border="0" applyProtection="0">
      <alignment vertical="center"/>
    </xf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2" fillId="24" borderId="0" applyNumberFormat="0" applyBorder="0" applyProtection="0">
      <alignment vertical="center"/>
    </xf>
    <xf numFmtId="0" fontId="2" fillId="24" borderId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5" borderId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26" borderId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4" borderId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2" fillId="27" borderId="0" applyBorder="0" applyProtection="0">
      <alignment vertical="center"/>
    </xf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2" fillId="34" borderId="0" applyNumberFormat="0" applyBorder="0" applyProtection="0">
      <alignment vertical="center"/>
    </xf>
    <xf numFmtId="0" fontId="2" fillId="34" borderId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5" borderId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26" borderId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2" borderId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Border="0" applyProtection="0">
      <alignment vertical="center"/>
    </xf>
    <xf numFmtId="0" fontId="2" fillId="35" borderId="0" applyNumberFormat="0" applyBorder="0" applyProtection="0">
      <alignment vertical="center"/>
    </xf>
    <xf numFmtId="0" fontId="2" fillId="35" borderId="0" applyBorder="0" applyProtection="0">
      <alignment vertical="center"/>
    </xf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8" fillId="0" borderId="0">
      <alignment/>
      <protection/>
    </xf>
    <xf numFmtId="0" fontId="22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3" fillId="42" borderId="0" applyNumberFormat="0" applyBorder="0" applyAlignment="0" applyProtection="0"/>
    <xf numFmtId="0" fontId="114" fillId="0" borderId="10" applyNumberFormat="0" applyFill="0" applyAlignment="0" applyProtection="0"/>
    <xf numFmtId="0" fontId="115" fillId="43" borderId="0" applyNumberFormat="0" applyBorder="0" applyAlignment="0" applyProtection="0"/>
    <xf numFmtId="9" fontId="1" fillId="0" borderId="0" applyFill="0" applyBorder="0" applyAlignment="0" applyProtection="0"/>
    <xf numFmtId="0" fontId="116" fillId="44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7" fillId="0" borderId="12" applyNumberFormat="0" applyFill="0" applyAlignment="0" applyProtection="0"/>
    <xf numFmtId="0" fontId="0" fillId="45" borderId="13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18" fillId="0" borderId="0" applyNumberFormat="0" applyFill="0" applyBorder="0" applyAlignment="0" applyProtection="0"/>
    <xf numFmtId="0" fontId="119" fillId="46" borderId="0" applyNumberFormat="0" applyBorder="0" applyAlignment="0" applyProtection="0"/>
    <xf numFmtId="0" fontId="119" fillId="47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19" fillId="50" borderId="0" applyNumberFormat="0" applyBorder="0" applyAlignment="0" applyProtection="0"/>
    <xf numFmtId="0" fontId="119" fillId="51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14" applyNumberFormat="0" applyFill="0" applyAlignment="0" applyProtection="0"/>
    <xf numFmtId="0" fontId="122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0" applyNumberFormat="0" applyFill="0" applyBorder="0" applyAlignment="0" applyProtection="0"/>
    <xf numFmtId="0" fontId="124" fillId="52" borderId="11" applyNumberFormat="0" applyAlignment="0" applyProtection="0"/>
    <xf numFmtId="0" fontId="125" fillId="44" borderId="17" applyNumberFormat="0" applyAlignment="0" applyProtection="0"/>
    <xf numFmtId="0" fontId="126" fillId="53" borderId="18" applyNumberFormat="0" applyAlignment="0" applyProtection="0"/>
    <xf numFmtId="0" fontId="127" fillId="54" borderId="0" applyNumberFormat="0" applyBorder="0" applyAlignment="0" applyProtection="0"/>
    <xf numFmtId="0" fontId="128" fillId="0" borderId="0" applyNumberFormat="0" applyFill="0" applyBorder="0" applyAlignment="0" applyProtection="0"/>
  </cellStyleXfs>
  <cellXfs count="6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3" fillId="17" borderId="27" xfId="0" applyFont="1" applyFill="1" applyBorder="1" applyAlignment="1">
      <alignment horizontal="center" vertical="center" wrapText="1"/>
    </xf>
    <xf numFmtId="0" fontId="44" fillId="17" borderId="28" xfId="0" applyFont="1" applyFill="1" applyBorder="1" applyAlignment="1">
      <alignment horizontal="center" vertical="center"/>
    </xf>
    <xf numFmtId="0" fontId="44" fillId="4" borderId="28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5" fillId="4" borderId="29" xfId="0" applyFont="1" applyFill="1" applyBorder="1" applyAlignment="1">
      <alignment horizontal="center" vertical="center"/>
    </xf>
    <xf numFmtId="0" fontId="37" fillId="55" borderId="30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17" borderId="32" xfId="0" applyFont="1" applyFill="1" applyBorder="1" applyAlignment="1">
      <alignment horizontal="center" vertical="center" wrapText="1"/>
    </xf>
    <xf numFmtId="0" fontId="44" fillId="17" borderId="21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5" fillId="4" borderId="33" xfId="0" applyFont="1" applyFill="1" applyBorder="1" applyAlignment="1">
      <alignment horizontal="center" vertical="center"/>
    </xf>
    <xf numFmtId="0" fontId="37" fillId="55" borderId="34" xfId="0" applyFont="1" applyFill="1" applyBorder="1" applyAlignment="1">
      <alignment horizontal="center" vertical="center"/>
    </xf>
    <xf numFmtId="0" fontId="45" fillId="4" borderId="35" xfId="0" applyFont="1" applyFill="1" applyBorder="1" applyAlignment="1">
      <alignment horizontal="center" vertical="center"/>
    </xf>
    <xf numFmtId="0" fontId="43" fillId="17" borderId="36" xfId="0" applyFont="1" applyFill="1" applyBorder="1" applyAlignment="1">
      <alignment horizontal="center" vertical="center" wrapText="1"/>
    </xf>
    <xf numFmtId="0" fontId="44" fillId="17" borderId="37" xfId="0" applyFont="1" applyFill="1" applyBorder="1" applyAlignment="1">
      <alignment horizontal="center" vertical="center"/>
    </xf>
    <xf numFmtId="0" fontId="41" fillId="4" borderId="38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/>
    </xf>
    <xf numFmtId="0" fontId="45" fillId="4" borderId="39" xfId="0" applyFont="1" applyFill="1" applyBorder="1" applyAlignment="1">
      <alignment horizontal="center" vertical="center"/>
    </xf>
    <xf numFmtId="0" fontId="37" fillId="55" borderId="4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37" fillId="55" borderId="43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6" fillId="55" borderId="34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1" fillId="0" borderId="41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55" borderId="4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4" fillId="55" borderId="2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55" borderId="43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6" fillId="55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9" fillId="0" borderId="0" xfId="58" applyFont="1">
      <alignment/>
      <protection/>
    </xf>
    <xf numFmtId="0" fontId="22" fillId="0" borderId="0" xfId="132" applyFont="1" applyAlignment="1">
      <alignment horizontal="left"/>
      <protection/>
    </xf>
    <xf numFmtId="0" fontId="50" fillId="0" borderId="0" xfId="132" applyFont="1" applyAlignment="1">
      <alignment horizontal="right"/>
      <protection/>
    </xf>
    <xf numFmtId="0" fontId="50" fillId="0" borderId="0" xfId="132" applyFont="1">
      <alignment/>
      <protection/>
    </xf>
    <xf numFmtId="0" fontId="22" fillId="0" borderId="21" xfId="132" applyFont="1" applyBorder="1" applyAlignment="1">
      <alignment horizontal="center" vertical="top" wrapText="1"/>
      <protection/>
    </xf>
    <xf numFmtId="0" fontId="50" fillId="0" borderId="0" xfId="132" applyFont="1" applyAlignment="1">
      <alignment horizontal="center" vertical="top" wrapText="1"/>
      <protection/>
    </xf>
    <xf numFmtId="0" fontId="28" fillId="0" borderId="0" xfId="132" applyFont="1" applyAlignment="1">
      <alignment horizontal="left"/>
      <protection/>
    </xf>
    <xf numFmtId="0" fontId="49" fillId="0" borderId="0" xfId="58" applyFont="1" applyAlignment="1">
      <alignment horizontal="left"/>
      <protection/>
    </xf>
    <xf numFmtId="0" fontId="49" fillId="0" borderId="19" xfId="58" applyFont="1" applyBorder="1">
      <alignment/>
      <protection/>
    </xf>
    <xf numFmtId="0" fontId="51" fillId="0" borderId="21" xfId="58" applyFont="1" applyBorder="1" applyAlignment="1">
      <alignment horizontal="center"/>
      <protection/>
    </xf>
    <xf numFmtId="0" fontId="22" fillId="0" borderId="26" xfId="58" applyFont="1" applyBorder="1" applyAlignment="1">
      <alignment horizontal="left"/>
      <protection/>
    </xf>
    <xf numFmtId="0" fontId="49" fillId="0" borderId="0" xfId="58" applyFont="1" applyAlignment="1">
      <alignment horizontal="center"/>
      <protection/>
    </xf>
    <xf numFmtId="0" fontId="49" fillId="0" borderId="0" xfId="58" applyFont="1" applyAlignment="1">
      <alignment horizontal="right"/>
      <protection/>
    </xf>
    <xf numFmtId="0" fontId="52" fillId="0" borderId="26" xfId="58" applyFont="1" applyBorder="1" applyAlignment="1">
      <alignment horizontal="center"/>
      <protection/>
    </xf>
    <xf numFmtId="0" fontId="53" fillId="0" borderId="0" xfId="58" applyFont="1" applyAlignment="1">
      <alignment horizontal="center"/>
      <protection/>
    </xf>
    <xf numFmtId="49" fontId="49" fillId="0" borderId="26" xfId="58" applyNumberFormat="1" applyFont="1" applyBorder="1" applyAlignment="1">
      <alignment horizontal="center"/>
      <protection/>
    </xf>
    <xf numFmtId="0" fontId="49" fillId="0" borderId="20" xfId="58" applyFont="1" applyBorder="1">
      <alignment/>
      <protection/>
    </xf>
    <xf numFmtId="0" fontId="0" fillId="0" borderId="21" xfId="53" applyFont="1" applyBorder="1" applyAlignment="1">
      <alignment horizontal="center"/>
      <protection/>
    </xf>
    <xf numFmtId="0" fontId="22" fillId="0" borderId="44" xfId="58" applyFont="1" applyBorder="1">
      <alignment/>
      <protection/>
    </xf>
    <xf numFmtId="0" fontId="49" fillId="0" borderId="24" xfId="58" applyFont="1" applyBorder="1">
      <alignment/>
      <protection/>
    </xf>
    <xf numFmtId="0" fontId="53" fillId="0" borderId="26" xfId="58" applyFont="1" applyBorder="1" applyAlignment="1">
      <alignment horizontal="center"/>
      <protection/>
    </xf>
    <xf numFmtId="0" fontId="52" fillId="0" borderId="0" xfId="58" applyFont="1" applyBorder="1" applyAlignment="1">
      <alignment horizontal="center"/>
      <protection/>
    </xf>
    <xf numFmtId="0" fontId="49" fillId="0" borderId="42" xfId="58" applyFont="1" applyBorder="1">
      <alignment/>
      <protection/>
    </xf>
    <xf numFmtId="0" fontId="49" fillId="0" borderId="21" xfId="58" applyFont="1" applyBorder="1" applyAlignment="1">
      <alignment horizontal="center"/>
      <protection/>
    </xf>
    <xf numFmtId="0" fontId="49" fillId="0" borderId="19" xfId="58" applyFont="1" applyBorder="1" applyAlignment="1">
      <alignment horizontal="center"/>
      <protection/>
    </xf>
    <xf numFmtId="0" fontId="22" fillId="0" borderId="0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53" fillId="0" borderId="21" xfId="58" applyFont="1" applyBorder="1" applyAlignment="1">
      <alignment horizontal="center"/>
      <protection/>
    </xf>
    <xf numFmtId="0" fontId="49" fillId="0" borderId="47" xfId="58" applyFont="1" applyBorder="1" applyAlignment="1">
      <alignment horizontal="center"/>
      <protection/>
    </xf>
    <xf numFmtId="0" fontId="53" fillId="0" borderId="0" xfId="58" applyFont="1" applyBorder="1" applyAlignment="1">
      <alignment horizontal="center"/>
      <protection/>
    </xf>
    <xf numFmtId="0" fontId="49" fillId="0" borderId="0" xfId="58" applyFont="1" applyBorder="1">
      <alignment/>
      <protection/>
    </xf>
    <xf numFmtId="0" fontId="0" fillId="0" borderId="0" xfId="0" applyFont="1" applyAlignment="1">
      <alignment vertical="center"/>
    </xf>
    <xf numFmtId="0" fontId="49" fillId="0" borderId="26" xfId="58" applyFont="1" applyBorder="1">
      <alignment/>
      <protection/>
    </xf>
    <xf numFmtId="0" fontId="51" fillId="0" borderId="0" xfId="58" applyFont="1" applyAlignment="1">
      <alignment horizontal="center"/>
      <protection/>
    </xf>
    <xf numFmtId="0" fontId="54" fillId="0" borderId="44" xfId="58" applyFont="1" applyBorder="1">
      <alignment/>
      <protection/>
    </xf>
    <xf numFmtId="0" fontId="22" fillId="0" borderId="0" xfId="58" applyFont="1" applyAlignment="1">
      <alignment horizontal="center"/>
      <protection/>
    </xf>
    <xf numFmtId="0" fontId="49" fillId="0" borderId="0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53" fillId="0" borderId="0" xfId="58" applyFont="1">
      <alignment/>
      <protection/>
    </xf>
    <xf numFmtId="0" fontId="56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0" fontId="41" fillId="0" borderId="0" xfId="53" applyFont="1">
      <alignment/>
      <protection/>
    </xf>
    <xf numFmtId="0" fontId="41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8" fillId="0" borderId="0" xfId="53" applyFont="1">
      <alignment/>
      <protection/>
    </xf>
    <xf numFmtId="0" fontId="41" fillId="0" borderId="0" xfId="53" applyFont="1" applyAlignment="1">
      <alignment horizontal="left"/>
      <protection/>
    </xf>
    <xf numFmtId="0" fontId="38" fillId="0" borderId="0" xfId="53" applyFont="1">
      <alignment/>
      <protection/>
    </xf>
    <xf numFmtId="0" fontId="59" fillId="0" borderId="0" xfId="128" applyFont="1" applyAlignment="1">
      <alignment horizontal="left"/>
      <protection/>
    </xf>
    <xf numFmtId="0" fontId="61" fillId="0" borderId="0" xfId="128" applyFont="1" applyAlignment="1">
      <alignment horizontal="center"/>
      <protection/>
    </xf>
    <xf numFmtId="0" fontId="62" fillId="0" borderId="0" xfId="53" applyFont="1" applyAlignment="1">
      <alignment horizontal="center"/>
      <protection/>
    </xf>
    <xf numFmtId="0" fontId="47" fillId="0" borderId="21" xfId="128" applyFont="1" applyBorder="1" applyAlignment="1">
      <alignment horizontal="center"/>
      <protection/>
    </xf>
    <xf numFmtId="0" fontId="47" fillId="0" borderId="31" xfId="128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41" fillId="0" borderId="26" xfId="53" applyFont="1" applyBorder="1" applyAlignment="1">
      <alignment horizontal="center"/>
      <protection/>
    </xf>
    <xf numFmtId="0" fontId="44" fillId="0" borderId="21" xfId="128" applyFont="1" applyBorder="1" applyAlignment="1">
      <alignment horizontal="center"/>
      <protection/>
    </xf>
    <xf numFmtId="0" fontId="44" fillId="17" borderId="45" xfId="128" applyFont="1" applyFill="1" applyBorder="1" applyAlignment="1">
      <alignment horizontal="center"/>
      <protection/>
    </xf>
    <xf numFmtId="0" fontId="41" fillId="0" borderId="21" xfId="0" applyFont="1" applyBorder="1" applyAlignment="1">
      <alignment vertical="center"/>
    </xf>
    <xf numFmtId="0" fontId="44" fillId="0" borderId="31" xfId="128" applyFont="1" applyBorder="1" applyAlignment="1">
      <alignment horizontal="center"/>
      <protection/>
    </xf>
    <xf numFmtId="0" fontId="44" fillId="0" borderId="45" xfId="53" applyFont="1" applyBorder="1" applyAlignment="1">
      <alignment horizontal="center"/>
      <protection/>
    </xf>
    <xf numFmtId="0" fontId="41" fillId="0" borderId="21" xfId="53" applyFont="1" applyBorder="1">
      <alignment/>
      <protection/>
    </xf>
    <xf numFmtId="0" fontId="41" fillId="0" borderId="21" xfId="53" applyFont="1" applyBorder="1" applyAlignment="1">
      <alignment horizontal="center"/>
      <protection/>
    </xf>
    <xf numFmtId="0" fontId="61" fillId="0" borderId="44" xfId="130" applyFont="1" applyBorder="1" applyAlignment="1">
      <alignment horizontal="center"/>
      <protection/>
    </xf>
    <xf numFmtId="0" fontId="47" fillId="0" borderId="21" xfId="131" applyFont="1" applyBorder="1" applyAlignment="1">
      <alignment horizontal="center"/>
      <protection/>
    </xf>
    <xf numFmtId="0" fontId="44" fillId="17" borderId="45" xfId="131" applyFont="1" applyFill="1" applyBorder="1" applyAlignment="1">
      <alignment horizontal="center"/>
      <protection/>
    </xf>
    <xf numFmtId="0" fontId="47" fillId="0" borderId="31" xfId="131" applyFont="1" applyBorder="1" applyAlignment="1">
      <alignment horizontal="center"/>
      <protection/>
    </xf>
    <xf numFmtId="0" fontId="44" fillId="0" borderId="24" xfId="53" applyFont="1" applyBorder="1" applyAlignment="1">
      <alignment horizontal="center"/>
      <protection/>
    </xf>
    <xf numFmtId="0" fontId="41" fillId="0" borderId="25" xfId="53" applyFont="1" applyBorder="1" applyAlignment="1">
      <alignment horizontal="center"/>
      <protection/>
    </xf>
    <xf numFmtId="0" fontId="41" fillId="0" borderId="22" xfId="53" applyFont="1" applyBorder="1" applyAlignment="1">
      <alignment horizontal="center"/>
      <protection/>
    </xf>
    <xf numFmtId="0" fontId="44" fillId="0" borderId="22" xfId="57" applyFont="1" applyBorder="1" applyAlignment="1">
      <alignment horizontal="center"/>
      <protection/>
    </xf>
    <xf numFmtId="0" fontId="44" fillId="3" borderId="24" xfId="57" applyFont="1" applyFill="1" applyBorder="1" applyAlignment="1">
      <alignment horizontal="center"/>
      <protection/>
    </xf>
    <xf numFmtId="0" fontId="44" fillId="17" borderId="24" xfId="57" applyFont="1" applyFill="1" applyBorder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0" fontId="44" fillId="0" borderId="0" xfId="53" applyFont="1" applyBorder="1" applyAlignment="1">
      <alignment horizontal="center"/>
      <protection/>
    </xf>
    <xf numFmtId="0" fontId="44" fillId="0" borderId="21" xfId="53" applyFont="1" applyBorder="1" applyAlignment="1">
      <alignment horizontal="center"/>
      <protection/>
    </xf>
    <xf numFmtId="0" fontId="44" fillId="0" borderId="31" xfId="53" applyFont="1" applyBorder="1" applyAlignment="1">
      <alignment horizontal="center"/>
      <protection/>
    </xf>
    <xf numFmtId="0" fontId="44" fillId="0" borderId="0" xfId="53" applyFont="1">
      <alignment/>
      <protection/>
    </xf>
    <xf numFmtId="0" fontId="44" fillId="0" borderId="0" xfId="53" applyFont="1" applyAlignment="1">
      <alignment horizontal="left"/>
      <protection/>
    </xf>
    <xf numFmtId="0" fontId="44" fillId="0" borderId="21" xfId="57" applyFont="1" applyBorder="1" applyAlignment="1">
      <alignment horizontal="center"/>
      <protection/>
    </xf>
    <xf numFmtId="0" fontId="44" fillId="0" borderId="21" xfId="53" applyFont="1" applyBorder="1" applyAlignment="1">
      <alignment horizontal="left"/>
      <protection/>
    </xf>
    <xf numFmtId="2" fontId="44" fillId="0" borderId="21" xfId="53" applyNumberFormat="1" applyFont="1" applyBorder="1" applyAlignment="1">
      <alignment horizontal="left"/>
      <protection/>
    </xf>
    <xf numFmtId="0" fontId="44" fillId="0" borderId="28" xfId="0" applyFont="1" applyFill="1" applyBorder="1" applyAlignment="1">
      <alignment horizontal="center" vertical="center"/>
    </xf>
    <xf numFmtId="0" fontId="44" fillId="0" borderId="42" xfId="53" applyFont="1" applyBorder="1" applyAlignment="1">
      <alignment horizontal="center"/>
      <protection/>
    </xf>
    <xf numFmtId="0" fontId="44" fillId="0" borderId="19" xfId="57" applyFont="1" applyBorder="1" applyAlignment="1">
      <alignment horizontal="center"/>
      <protection/>
    </xf>
    <xf numFmtId="0" fontId="44" fillId="0" borderId="19" xfId="53" applyFont="1" applyBorder="1" applyAlignment="1">
      <alignment horizontal="center"/>
      <protection/>
    </xf>
    <xf numFmtId="0" fontId="44" fillId="0" borderId="26" xfId="53" applyFont="1" applyBorder="1" applyAlignment="1">
      <alignment horizontal="center"/>
      <protection/>
    </xf>
    <xf numFmtId="0" fontId="41" fillId="0" borderId="38" xfId="0" applyFont="1" applyFill="1" applyBorder="1" applyAlignment="1">
      <alignment horizontal="center" vertical="center"/>
    </xf>
    <xf numFmtId="0" fontId="41" fillId="0" borderId="41" xfId="53" applyFont="1" applyBorder="1" applyAlignment="1">
      <alignment horizontal="center"/>
      <protection/>
    </xf>
    <xf numFmtId="0" fontId="41" fillId="0" borderId="44" xfId="53" applyFont="1" applyBorder="1" applyAlignment="1">
      <alignment horizontal="center"/>
      <protection/>
    </xf>
    <xf numFmtId="0" fontId="41" fillId="0" borderId="0" xfId="0" applyFont="1" applyAlignment="1">
      <alignment vertical="center"/>
    </xf>
    <xf numFmtId="0" fontId="41" fillId="0" borderId="21" xfId="53" applyFont="1" applyFill="1" applyBorder="1" applyAlignment="1">
      <alignment horizontal="center"/>
      <protection/>
    </xf>
    <xf numFmtId="0" fontId="44" fillId="0" borderId="21" xfId="53" applyFont="1" applyFill="1" applyBorder="1" applyAlignment="1">
      <alignment horizontal="center"/>
      <protection/>
    </xf>
    <xf numFmtId="0" fontId="44" fillId="3" borderId="42" xfId="57" applyFont="1" applyFill="1" applyBorder="1" applyAlignment="1">
      <alignment horizontal="center"/>
      <protection/>
    </xf>
    <xf numFmtId="0" fontId="44" fillId="17" borderId="42" xfId="57" applyFont="1" applyFill="1" applyBorder="1" applyAlignment="1">
      <alignment horizontal="center"/>
      <protection/>
    </xf>
    <xf numFmtId="0" fontId="49" fillId="0" borderId="0" xfId="58" applyFont="1" applyAlignment="1">
      <alignment horizontal="center" vertical="center"/>
      <protection/>
    </xf>
    <xf numFmtId="0" fontId="22" fillId="0" borderId="0" xfId="132" applyFont="1" applyAlignment="1">
      <alignment horizontal="right" vertical="center"/>
      <protection/>
    </xf>
    <xf numFmtId="0" fontId="50" fillId="0" borderId="0" xfId="132" applyFont="1" applyAlignment="1">
      <alignment horizontal="center"/>
      <protection/>
    </xf>
    <xf numFmtId="0" fontId="28" fillId="0" borderId="0" xfId="132" applyFont="1" applyAlignment="1">
      <alignment horizontal="right" vertical="center"/>
      <protection/>
    </xf>
    <xf numFmtId="0" fontId="21" fillId="0" borderId="0" xfId="132" applyFont="1" applyAlignment="1">
      <alignment horizontal="center" vertical="center"/>
      <protection/>
    </xf>
    <xf numFmtId="0" fontId="21" fillId="0" borderId="0" xfId="132" applyFont="1" applyAlignment="1">
      <alignment horizontal="center"/>
      <protection/>
    </xf>
    <xf numFmtId="0" fontId="21" fillId="0" borderId="0" xfId="132" applyFont="1">
      <alignment/>
      <protection/>
    </xf>
    <xf numFmtId="0" fontId="0" fillId="0" borderId="0" xfId="58" applyFont="1">
      <alignment/>
      <protection/>
    </xf>
    <xf numFmtId="0" fontId="63" fillId="0" borderId="21" xfId="58" applyFont="1" applyBorder="1" applyAlignment="1">
      <alignment horizontal="center" vertical="top" wrapText="1"/>
      <protection/>
    </xf>
    <xf numFmtId="0" fontId="64" fillId="0" borderId="21" xfId="58" applyFont="1" applyBorder="1" applyAlignment="1">
      <alignment horizontal="center" vertical="top" wrapText="1"/>
      <protection/>
    </xf>
    <xf numFmtId="0" fontId="64" fillId="0" borderId="22" xfId="58" applyFont="1" applyBorder="1" applyAlignment="1">
      <alignment horizontal="center" vertical="top" wrapText="1"/>
      <protection/>
    </xf>
    <xf numFmtId="0" fontId="64" fillId="55" borderId="48" xfId="58" applyFont="1" applyFill="1" applyBorder="1" applyAlignment="1">
      <alignment horizontal="center" vertical="top" wrapText="1"/>
      <protection/>
    </xf>
    <xf numFmtId="0" fontId="64" fillId="55" borderId="28" xfId="58" applyFont="1" applyFill="1" applyBorder="1" applyAlignment="1">
      <alignment horizontal="center" vertical="top" wrapText="1"/>
      <protection/>
    </xf>
    <xf numFmtId="0" fontId="64" fillId="55" borderId="49" xfId="58" applyFont="1" applyFill="1" applyBorder="1" applyAlignment="1">
      <alignment horizontal="center" vertical="top" wrapText="1"/>
      <protection/>
    </xf>
    <xf numFmtId="0" fontId="64" fillId="55" borderId="50" xfId="58" applyFont="1" applyFill="1" applyBorder="1" applyAlignment="1">
      <alignment horizontal="center" vertical="top" wrapText="1"/>
      <protection/>
    </xf>
    <xf numFmtId="0" fontId="64" fillId="55" borderId="21" xfId="58" applyFont="1" applyFill="1" applyBorder="1" applyAlignment="1">
      <alignment horizontal="center" vertical="top" wrapText="1"/>
      <protection/>
    </xf>
    <xf numFmtId="0" fontId="64" fillId="55" borderId="33" xfId="58" applyFont="1" applyFill="1" applyBorder="1" applyAlignment="1">
      <alignment horizontal="center" vertical="top" wrapText="1"/>
      <protection/>
    </xf>
    <xf numFmtId="0" fontId="49" fillId="55" borderId="51" xfId="58" applyFont="1" applyFill="1" applyBorder="1">
      <alignment/>
      <protection/>
    </xf>
    <xf numFmtId="0" fontId="49" fillId="55" borderId="37" xfId="58" applyFont="1" applyFill="1" applyBorder="1" applyAlignment="1">
      <alignment horizontal="center"/>
      <protection/>
    </xf>
    <xf numFmtId="0" fontId="49" fillId="55" borderId="37" xfId="58" applyFont="1" applyFill="1" applyBorder="1">
      <alignment/>
      <protection/>
    </xf>
    <xf numFmtId="0" fontId="64" fillId="55" borderId="37" xfId="58" applyFont="1" applyFill="1" applyBorder="1" applyAlignment="1">
      <alignment horizontal="center" vertical="top" wrapText="1"/>
      <protection/>
    </xf>
    <xf numFmtId="0" fontId="64" fillId="55" borderId="52" xfId="58" applyFont="1" applyFill="1" applyBorder="1" applyAlignment="1">
      <alignment horizontal="center" vertical="top" wrapText="1"/>
      <protection/>
    </xf>
    <xf numFmtId="0" fontId="65" fillId="0" borderId="0" xfId="58" applyFont="1" applyAlignment="1">
      <alignment horizontal="center" vertical="center" wrapText="1"/>
      <protection/>
    </xf>
    <xf numFmtId="0" fontId="21" fillId="0" borderId="0" xfId="132" applyFont="1" applyAlignment="1">
      <alignment horizontal="left" vertical="center"/>
      <protection/>
    </xf>
    <xf numFmtId="0" fontId="0" fillId="0" borderId="0" xfId="58" applyFont="1" applyAlignment="1">
      <alignment horizontal="center"/>
      <protection/>
    </xf>
    <xf numFmtId="0" fontId="28" fillId="0" borderId="0" xfId="132" applyFont="1" applyAlignment="1">
      <alignment horizontal="left" vertical="center"/>
      <protection/>
    </xf>
    <xf numFmtId="0" fontId="22" fillId="0" borderId="0" xfId="58" applyFont="1" applyBorder="1" applyAlignment="1">
      <alignment horizontal="center" vertical="center"/>
      <protection/>
    </xf>
    <xf numFmtId="0" fontId="53" fillId="0" borderId="19" xfId="58" applyFont="1" applyBorder="1" applyAlignment="1">
      <alignment horizontal="center"/>
      <protection/>
    </xf>
    <xf numFmtId="0" fontId="49" fillId="0" borderId="21" xfId="58" applyFont="1" applyBorder="1" applyAlignment="1">
      <alignment horizontal="center"/>
      <protection/>
    </xf>
    <xf numFmtId="0" fontId="54" fillId="0" borderId="23" xfId="58" applyFont="1" applyBorder="1" applyAlignment="1">
      <alignment horizontal="center"/>
      <protection/>
    </xf>
    <xf numFmtId="0" fontId="22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22" fillId="56" borderId="21" xfId="0" applyFont="1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49" fillId="55" borderId="21" xfId="58" applyFont="1" applyFill="1" applyBorder="1" applyAlignment="1">
      <alignment horizontal="center"/>
      <protection/>
    </xf>
    <xf numFmtId="0" fontId="66" fillId="0" borderId="0" xfId="58" applyFont="1">
      <alignment/>
      <protection/>
    </xf>
    <xf numFmtId="0" fontId="67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49" fillId="0" borderId="41" xfId="58" applyFont="1" applyBorder="1" applyAlignment="1">
      <alignment horizontal="center" vertical="center"/>
      <protection/>
    </xf>
    <xf numFmtId="0" fontId="49" fillId="0" borderId="21" xfId="58" applyFont="1" applyBorder="1" applyAlignment="1">
      <alignment horizontal="center" vertical="center"/>
      <protection/>
    </xf>
    <xf numFmtId="0" fontId="49" fillId="0" borderId="0" xfId="58" applyFont="1" applyBorder="1" applyAlignment="1">
      <alignment horizontal="center" vertical="center"/>
      <protection/>
    </xf>
    <xf numFmtId="0" fontId="54" fillId="0" borderId="0" xfId="58" applyFont="1" applyBorder="1" applyAlignment="1">
      <alignment horizontal="center"/>
      <protection/>
    </xf>
    <xf numFmtId="0" fontId="49" fillId="0" borderId="0" xfId="0" applyFont="1" applyBorder="1" applyAlignment="1">
      <alignment vertical="center"/>
    </xf>
    <xf numFmtId="0" fontId="54" fillId="0" borderId="19" xfId="58" applyFont="1" applyBorder="1" applyAlignment="1">
      <alignment horizontal="center"/>
      <protection/>
    </xf>
    <xf numFmtId="0" fontId="54" fillId="0" borderId="0" xfId="58" applyFont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22" fillId="0" borderId="0" xfId="132" applyFont="1" applyAlignment="1">
      <alignment horizontal="left" vertical="center"/>
      <protection/>
    </xf>
    <xf numFmtId="0" fontId="50" fillId="0" borderId="0" xfId="132" applyFont="1" applyAlignment="1">
      <alignment horizontal="center" vertical="center"/>
      <protection/>
    </xf>
    <xf numFmtId="0" fontId="63" fillId="0" borderId="0" xfId="144" applyFont="1" applyAlignment="1">
      <alignment horizontal="left"/>
      <protection/>
    </xf>
    <xf numFmtId="0" fontId="22" fillId="0" borderId="0" xfId="144" applyFont="1" applyAlignment="1">
      <alignment horizontal="left"/>
      <protection/>
    </xf>
    <xf numFmtId="0" fontId="21" fillId="0" borderId="0" xfId="132" applyFont="1" applyAlignment="1">
      <alignment horizontal="right"/>
      <protection/>
    </xf>
    <xf numFmtId="0" fontId="68" fillId="0" borderId="48" xfId="58" applyFont="1" applyBorder="1" applyAlignment="1">
      <alignment horizontal="center" vertical="top" wrapText="1"/>
      <protection/>
    </xf>
    <xf numFmtId="0" fontId="68" fillId="0" borderId="28" xfId="58" applyFont="1" applyBorder="1" applyAlignment="1">
      <alignment horizontal="center" vertical="top" wrapText="1"/>
      <protection/>
    </xf>
    <xf numFmtId="0" fontId="68" fillId="0" borderId="49" xfId="58" applyFont="1" applyBorder="1" applyAlignment="1">
      <alignment horizontal="center" vertical="top" wrapText="1"/>
      <protection/>
    </xf>
    <xf numFmtId="0" fontId="68" fillId="0" borderId="50" xfId="58" applyFont="1" applyBorder="1" applyAlignment="1">
      <alignment horizontal="center" vertical="top" wrapText="1"/>
      <protection/>
    </xf>
    <xf numFmtId="0" fontId="68" fillId="0" borderId="21" xfId="58" applyFont="1" applyBorder="1" applyAlignment="1">
      <alignment horizontal="center" vertical="top" wrapText="1"/>
      <protection/>
    </xf>
    <xf numFmtId="0" fontId="68" fillId="0" borderId="33" xfId="58" applyFont="1" applyBorder="1" applyAlignment="1">
      <alignment horizontal="center" vertical="top" wrapText="1"/>
      <protection/>
    </xf>
    <xf numFmtId="0" fontId="69" fillId="0" borderId="51" xfId="58" applyFont="1" applyBorder="1">
      <alignment/>
      <protection/>
    </xf>
    <xf numFmtId="0" fontId="69" fillId="0" borderId="37" xfId="58" applyFont="1" applyBorder="1" applyAlignment="1">
      <alignment horizontal="center"/>
      <protection/>
    </xf>
    <xf numFmtId="0" fontId="69" fillId="0" borderId="37" xfId="58" applyFont="1" applyBorder="1">
      <alignment/>
      <protection/>
    </xf>
    <xf numFmtId="0" fontId="68" fillId="0" borderId="37" xfId="58" applyFont="1" applyBorder="1" applyAlignment="1">
      <alignment horizontal="center" vertical="top" wrapText="1"/>
      <protection/>
    </xf>
    <xf numFmtId="0" fontId="68" fillId="0" borderId="52" xfId="58" applyFont="1" applyBorder="1" applyAlignment="1">
      <alignment horizontal="center" vertical="top" wrapText="1"/>
      <protection/>
    </xf>
    <xf numFmtId="0" fontId="0" fillId="0" borderId="0" xfId="58" applyFont="1" applyAlignment="1">
      <alignment horizontal="center" vertical="center"/>
      <protection/>
    </xf>
    <xf numFmtId="0" fontId="23" fillId="0" borderId="0" xfId="132" applyFont="1" applyAlignment="1">
      <alignment horizontal="left" vertical="center"/>
      <protection/>
    </xf>
    <xf numFmtId="0" fontId="51" fillId="0" borderId="23" xfId="58" applyFont="1" applyBorder="1">
      <alignment/>
      <protection/>
    </xf>
    <xf numFmtId="0" fontId="70" fillId="0" borderId="26" xfId="0" applyFont="1" applyBorder="1" applyAlignment="1">
      <alignment horizontal="center"/>
    </xf>
    <xf numFmtId="49" fontId="54" fillId="0" borderId="26" xfId="58" applyNumberFormat="1" applyFont="1" applyBorder="1" applyAlignment="1">
      <alignment horizontal="center"/>
      <protection/>
    </xf>
    <xf numFmtId="0" fontId="49" fillId="0" borderId="2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9" xfId="58" applyFont="1" applyBorder="1" applyAlignment="1">
      <alignment horizontal="center" vertical="center"/>
      <protection/>
    </xf>
    <xf numFmtId="0" fontId="49" fillId="0" borderId="26" xfId="0" applyFont="1" applyBorder="1" applyAlignment="1">
      <alignment horizontal="center"/>
    </xf>
    <xf numFmtId="0" fontId="49" fillId="0" borderId="24" xfId="0" applyFont="1" applyBorder="1" applyAlignment="1">
      <alignment vertical="center"/>
    </xf>
    <xf numFmtId="0" fontId="49" fillId="0" borderId="47" xfId="58" applyFont="1" applyBorder="1" applyAlignment="1">
      <alignment horizontal="center" vertical="center"/>
      <protection/>
    </xf>
    <xf numFmtId="0" fontId="49" fillId="0" borderId="3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44" xfId="58" applyFont="1" applyBorder="1">
      <alignment/>
      <protection/>
    </xf>
    <xf numFmtId="0" fontId="49" fillId="0" borderId="20" xfId="0" applyFont="1" applyBorder="1" applyAlignment="1">
      <alignment vertical="center"/>
    </xf>
    <xf numFmtId="0" fontId="49" fillId="0" borderId="24" xfId="0" applyFont="1" applyBorder="1" applyAlignment="1">
      <alignment horizontal="center"/>
    </xf>
    <xf numFmtId="0" fontId="49" fillId="0" borderId="24" xfId="58" applyFont="1" applyBorder="1" applyAlignment="1">
      <alignment horizontal="center"/>
      <protection/>
    </xf>
    <xf numFmtId="0" fontId="49" fillId="0" borderId="19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54" fillId="0" borderId="0" xfId="58" applyNumberFormat="1" applyFont="1" applyAlignment="1">
      <alignment horizontal="center"/>
      <protection/>
    </xf>
    <xf numFmtId="0" fontId="67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63" fillId="0" borderId="41" xfId="53" applyFont="1" applyBorder="1" applyAlignment="1">
      <alignment horizontal="center" vertical="center"/>
      <protection/>
    </xf>
    <xf numFmtId="0" fontId="22" fillId="0" borderId="41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22" fillId="0" borderId="21" xfId="58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22" fillId="0" borderId="21" xfId="58" applyNumberFormat="1" applyFont="1" applyBorder="1" applyAlignment="1">
      <alignment horizontal="center" vertical="center"/>
      <protection/>
    </xf>
    <xf numFmtId="0" fontId="53" fillId="0" borderId="0" xfId="0" applyFont="1" applyAlignment="1">
      <alignment horizontal="right"/>
    </xf>
    <xf numFmtId="0" fontId="53" fillId="0" borderId="0" xfId="58" applyFont="1" applyAlignment="1">
      <alignment horizontal="right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19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3" fillId="6" borderId="53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0" fontId="45" fillId="4" borderId="49" xfId="0" applyFont="1" applyFill="1" applyBorder="1" applyAlignment="1">
      <alignment horizontal="center" vertical="center"/>
    </xf>
    <xf numFmtId="0" fontId="74" fillId="55" borderId="30" xfId="0" applyFont="1" applyFill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center" vertical="center"/>
    </xf>
    <xf numFmtId="0" fontId="44" fillId="4" borderId="41" xfId="0" applyFont="1" applyFill="1" applyBorder="1" applyAlignment="1">
      <alignment horizontal="center" vertical="center"/>
    </xf>
    <xf numFmtId="0" fontId="47" fillId="4" borderId="41" xfId="0" applyFont="1" applyFill="1" applyBorder="1" applyAlignment="1">
      <alignment horizontal="center" vertical="center"/>
    </xf>
    <xf numFmtId="0" fontId="74" fillId="55" borderId="34" xfId="0" applyFont="1" applyFill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44" fillId="6" borderId="37" xfId="0" applyFont="1" applyFill="1" applyBorder="1" applyAlignment="1">
      <alignment horizontal="center" vertical="center"/>
    </xf>
    <xf numFmtId="0" fontId="47" fillId="4" borderId="38" xfId="0" applyFont="1" applyFill="1" applyBorder="1" applyAlignment="1">
      <alignment horizontal="center" vertical="center"/>
    </xf>
    <xf numFmtId="0" fontId="44" fillId="4" borderId="38" xfId="0" applyFont="1" applyFill="1" applyBorder="1" applyAlignment="1">
      <alignment horizontal="center" vertical="center"/>
    </xf>
    <xf numFmtId="0" fontId="45" fillId="4" borderId="55" xfId="0" applyFont="1" applyFill="1" applyBorder="1" applyAlignment="1">
      <alignment horizontal="center" vertical="center"/>
    </xf>
    <xf numFmtId="0" fontId="46" fillId="55" borderId="40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75" fillId="0" borderId="31" xfId="0" applyFont="1" applyBorder="1" applyAlignment="1">
      <alignment horizontal="left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6" fillId="55" borderId="56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32" fillId="0" borderId="0" xfId="128" applyFont="1" applyAlignment="1">
      <alignment horizontal="left"/>
      <protection/>
    </xf>
    <xf numFmtId="0" fontId="21" fillId="0" borderId="0" xfId="128" applyFont="1" applyAlignment="1">
      <alignment horizontal="center"/>
      <protection/>
    </xf>
    <xf numFmtId="0" fontId="21" fillId="0" borderId="0" xfId="128" applyFont="1">
      <alignment/>
      <protection/>
    </xf>
    <xf numFmtId="0" fontId="78" fillId="0" borderId="0" xfId="53" applyFont="1">
      <alignment/>
      <protection/>
    </xf>
    <xf numFmtId="0" fontId="79" fillId="0" borderId="0" xfId="128" applyFont="1" applyAlignment="1">
      <alignment horizontal="center"/>
      <protection/>
    </xf>
    <xf numFmtId="0" fontId="44" fillId="0" borderId="45" xfId="128" applyFont="1" applyFill="1" applyBorder="1" applyAlignment="1">
      <alignment horizontal="center"/>
      <protection/>
    </xf>
    <xf numFmtId="0" fontId="47" fillId="0" borderId="21" xfId="130" applyFont="1" applyBorder="1" applyAlignment="1">
      <alignment horizontal="center"/>
      <protection/>
    </xf>
    <xf numFmtId="0" fontId="80" fillId="0" borderId="45" xfId="130" applyFont="1" applyFill="1" applyBorder="1" applyAlignment="1">
      <alignment horizontal="center"/>
      <protection/>
    </xf>
    <xf numFmtId="0" fontId="44" fillId="0" borderId="20" xfId="55" applyFont="1" applyBorder="1" applyAlignment="1">
      <alignment horizontal="center"/>
      <protection/>
    </xf>
    <xf numFmtId="0" fontId="44" fillId="3" borderId="22" xfId="55" applyFont="1" applyFill="1" applyBorder="1" applyAlignment="1">
      <alignment horizontal="center"/>
      <protection/>
    </xf>
    <xf numFmtId="0" fontId="44" fillId="17" borderId="22" xfId="55" applyFont="1" applyFill="1" applyBorder="1" applyAlignment="1">
      <alignment horizontal="center"/>
      <protection/>
    </xf>
    <xf numFmtId="0" fontId="44" fillId="0" borderId="47" xfId="55" applyFont="1" applyBorder="1" applyAlignment="1">
      <alignment horizontal="center"/>
      <protection/>
    </xf>
    <xf numFmtId="0" fontId="63" fillId="0" borderId="0" xfId="53" applyFont="1" applyAlignment="1">
      <alignment horizontal="left" vertical="center"/>
      <protection/>
    </xf>
    <xf numFmtId="0" fontId="44" fillId="0" borderId="45" xfId="55" applyFont="1" applyBorder="1" applyAlignment="1">
      <alignment horizontal="center"/>
      <protection/>
    </xf>
    <xf numFmtId="0" fontId="44" fillId="3" borderId="25" xfId="55" applyFont="1" applyFill="1" applyBorder="1" applyAlignment="1">
      <alignment horizontal="center"/>
      <protection/>
    </xf>
    <xf numFmtId="0" fontId="44" fillId="17" borderId="25" xfId="55" applyFont="1" applyFill="1" applyBorder="1" applyAlignment="1">
      <alignment horizontal="center"/>
      <protection/>
    </xf>
    <xf numFmtId="0" fontId="44" fillId="0" borderId="0" xfId="55" applyFont="1" applyAlignment="1">
      <alignment horizontal="center"/>
      <protection/>
    </xf>
    <xf numFmtId="0" fontId="44" fillId="0" borderId="0" xfId="55" applyFont="1" applyBorder="1" applyAlignment="1">
      <alignment horizontal="center"/>
      <protection/>
    </xf>
    <xf numFmtId="0" fontId="63" fillId="0" borderId="21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23" fillId="0" borderId="21" xfId="53" applyFont="1" applyBorder="1" applyAlignment="1">
      <alignment horizontal="left" vertical="center"/>
      <protection/>
    </xf>
    <xf numFmtId="0" fontId="44" fillId="3" borderId="41" xfId="55" applyFont="1" applyFill="1" applyBorder="1" applyAlignment="1">
      <alignment horizontal="center"/>
      <protection/>
    </xf>
    <xf numFmtId="0" fontId="44" fillId="17" borderId="41" xfId="55" applyFont="1" applyFill="1" applyBorder="1" applyAlignment="1">
      <alignment horizontal="center"/>
      <protection/>
    </xf>
    <xf numFmtId="0" fontId="44" fillId="0" borderId="19" xfId="55" applyFont="1" applyBorder="1" applyAlignment="1">
      <alignment horizontal="center"/>
      <protection/>
    </xf>
    <xf numFmtId="0" fontId="44" fillId="0" borderId="22" xfId="55" applyFont="1" applyBorder="1" applyAlignment="1">
      <alignment horizontal="center"/>
      <protection/>
    </xf>
    <xf numFmtId="0" fontId="44" fillId="3" borderId="20" xfId="55" applyFont="1" applyFill="1" applyBorder="1" applyAlignment="1">
      <alignment horizontal="center"/>
      <protection/>
    </xf>
    <xf numFmtId="0" fontId="44" fillId="0" borderId="21" xfId="55" applyFont="1" applyBorder="1" applyAlignment="1">
      <alignment horizontal="center"/>
      <protection/>
    </xf>
    <xf numFmtId="0" fontId="44" fillId="3" borderId="0" xfId="55" applyFont="1" applyFill="1" applyAlignment="1">
      <alignment horizontal="center"/>
      <protection/>
    </xf>
    <xf numFmtId="0" fontId="44" fillId="17" borderId="24" xfId="55" applyFont="1" applyFill="1" applyBorder="1" applyAlignment="1">
      <alignment horizontal="center"/>
      <protection/>
    </xf>
    <xf numFmtId="0" fontId="44" fillId="0" borderId="24" xfId="55" applyFont="1" applyBorder="1" applyAlignment="1">
      <alignment horizontal="center"/>
      <protection/>
    </xf>
    <xf numFmtId="0" fontId="44" fillId="3" borderId="26" xfId="55" applyFont="1" applyFill="1" applyBorder="1" applyAlignment="1">
      <alignment horizontal="center"/>
      <protection/>
    </xf>
    <xf numFmtId="0" fontId="44" fillId="0" borderId="42" xfId="55" applyFont="1" applyBorder="1" applyAlignment="1">
      <alignment horizontal="center"/>
      <protection/>
    </xf>
    <xf numFmtId="0" fontId="44" fillId="3" borderId="24" xfId="55" applyFont="1" applyFill="1" applyBorder="1" applyAlignment="1">
      <alignment horizontal="center"/>
      <protection/>
    </xf>
    <xf numFmtId="0" fontId="0" fillId="0" borderId="0" xfId="53" applyFont="1" applyAlignment="1">
      <alignment vertical="center"/>
      <protection/>
    </xf>
    <xf numFmtId="0" fontId="44" fillId="3" borderId="42" xfId="55" applyFont="1" applyFill="1" applyBorder="1" applyAlignment="1">
      <alignment horizontal="center"/>
      <protection/>
    </xf>
    <xf numFmtId="0" fontId="0" fillId="0" borderId="58" xfId="53" applyFont="1" applyBorder="1" applyAlignment="1">
      <alignment horizontal="center"/>
      <protection/>
    </xf>
    <xf numFmtId="0" fontId="0" fillId="0" borderId="58" xfId="53" applyFont="1" applyBorder="1">
      <alignment/>
      <protection/>
    </xf>
    <xf numFmtId="0" fontId="63" fillId="0" borderId="25" xfId="53" applyFont="1" applyBorder="1" applyAlignment="1">
      <alignment horizontal="center"/>
      <protection/>
    </xf>
    <xf numFmtId="0" fontId="49" fillId="0" borderId="0" xfId="58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0" fontId="81" fillId="0" borderId="0" xfId="128" applyFont="1" applyAlignment="1">
      <alignment horizontal="center"/>
      <protection/>
    </xf>
    <xf numFmtId="0" fontId="61" fillId="0" borderId="0" xfId="128" applyFont="1" applyAlignment="1">
      <alignment horizontal="left"/>
      <protection/>
    </xf>
    <xf numFmtId="0" fontId="61" fillId="0" borderId="0" xfId="128" applyFont="1">
      <alignment/>
      <protection/>
    </xf>
    <xf numFmtId="0" fontId="82" fillId="0" borderId="0" xfId="128" applyFont="1">
      <alignment/>
      <protection/>
    </xf>
    <xf numFmtId="0" fontId="44" fillId="0" borderId="42" xfId="128" applyFont="1" applyBorder="1" applyAlignment="1">
      <alignment horizontal="center"/>
      <protection/>
    </xf>
    <xf numFmtId="0" fontId="61" fillId="0" borderId="41" xfId="128" applyFont="1" applyBorder="1">
      <alignment/>
      <protection/>
    </xf>
    <xf numFmtId="0" fontId="44" fillId="0" borderId="24" xfId="128" applyFont="1" applyBorder="1" applyAlignment="1">
      <alignment horizontal="center"/>
      <protection/>
    </xf>
    <xf numFmtId="0" fontId="61" fillId="0" borderId="25" xfId="128" applyFont="1" applyBorder="1" applyAlignment="1">
      <alignment horizontal="center"/>
      <protection/>
    </xf>
    <xf numFmtId="0" fontId="61" fillId="0" borderId="22" xfId="128" applyFont="1" applyBorder="1" applyAlignment="1">
      <alignment horizontal="center"/>
      <protection/>
    </xf>
    <xf numFmtId="0" fontId="47" fillId="0" borderId="21" xfId="53" applyFont="1" applyBorder="1" applyAlignment="1">
      <alignment horizontal="left"/>
      <protection/>
    </xf>
    <xf numFmtId="0" fontId="41" fillId="0" borderId="21" xfId="53" applyFont="1" applyBorder="1" applyAlignment="1">
      <alignment horizontal="left"/>
      <protection/>
    </xf>
    <xf numFmtId="0" fontId="44" fillId="0" borderId="0" xfId="53" applyFont="1" applyAlignment="1">
      <alignment horizontal="center"/>
      <protection/>
    </xf>
    <xf numFmtId="0" fontId="63" fillId="0" borderId="0" xfId="132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right"/>
      <protection/>
    </xf>
    <xf numFmtId="0" fontId="63" fillId="0" borderId="45" xfId="58" applyFont="1" applyBorder="1" applyAlignment="1">
      <alignment horizontal="center" vertical="top" wrapText="1"/>
      <protection/>
    </xf>
    <xf numFmtId="0" fontId="64" fillId="0" borderId="21" xfId="58" applyFont="1" applyBorder="1" applyAlignment="1">
      <alignment horizontal="center" vertical="center" wrapText="1"/>
      <protection/>
    </xf>
    <xf numFmtId="0" fontId="64" fillId="0" borderId="41" xfId="58" applyFont="1" applyBorder="1" applyAlignment="1">
      <alignment horizontal="center" vertical="center" wrapText="1"/>
      <protection/>
    </xf>
    <xf numFmtId="0" fontId="64" fillId="0" borderId="22" xfId="58" applyFont="1" applyBorder="1" applyAlignment="1">
      <alignment horizontal="center" vertical="center" wrapText="1"/>
      <protection/>
    </xf>
    <xf numFmtId="0" fontId="68" fillId="0" borderId="30" xfId="58" applyFont="1" applyBorder="1" applyAlignment="1">
      <alignment horizontal="center" vertical="center" wrapText="1"/>
      <protection/>
    </xf>
    <xf numFmtId="0" fontId="64" fillId="0" borderId="31" xfId="58" applyFont="1" applyBorder="1" applyAlignment="1">
      <alignment horizontal="center" vertical="center" wrapText="1"/>
      <protection/>
    </xf>
    <xf numFmtId="0" fontId="68" fillId="0" borderId="46" xfId="58" applyFont="1" applyBorder="1" applyAlignment="1">
      <alignment horizontal="center" vertical="center" wrapText="1"/>
      <protection/>
    </xf>
    <xf numFmtId="0" fontId="69" fillId="0" borderId="0" xfId="58" applyFont="1" applyBorder="1">
      <alignment/>
      <protection/>
    </xf>
    <xf numFmtId="0" fontId="69" fillId="0" borderId="0" xfId="58" applyFont="1" applyBorder="1" applyAlignment="1">
      <alignment horizontal="center" vertical="center" wrapText="1"/>
      <protection/>
    </xf>
    <xf numFmtId="0" fontId="31" fillId="0" borderId="0" xfId="53" applyFont="1" applyAlignment="1">
      <alignment horizontal="center"/>
      <protection/>
    </xf>
    <xf numFmtId="0" fontId="53" fillId="0" borderId="0" xfId="58" applyFont="1" applyAlignment="1">
      <alignment horizontal="left"/>
      <protection/>
    </xf>
    <xf numFmtId="0" fontId="21" fillId="0" borderId="0" xfId="128" applyFont="1" applyAlignment="1">
      <alignment horizontal="left"/>
      <protection/>
    </xf>
    <xf numFmtId="0" fontId="60" fillId="0" borderId="0" xfId="128" applyFont="1">
      <alignment/>
      <protection/>
    </xf>
    <xf numFmtId="0" fontId="0" fillId="0" borderId="0" xfId="53" applyFont="1" applyBorder="1">
      <alignment/>
      <protection/>
    </xf>
    <xf numFmtId="0" fontId="44" fillId="0" borderId="22" xfId="130" applyFont="1" applyFill="1" applyBorder="1" applyAlignment="1">
      <alignment horizontal="center"/>
      <protection/>
    </xf>
    <xf numFmtId="0" fontId="44" fillId="0" borderId="45" xfId="128" applyFont="1" applyBorder="1" applyAlignment="1">
      <alignment horizontal="center"/>
      <protection/>
    </xf>
    <xf numFmtId="0" fontId="61" fillId="0" borderId="21" xfId="128" applyFont="1" applyBorder="1">
      <alignment/>
      <protection/>
    </xf>
    <xf numFmtId="0" fontId="47" fillId="0" borderId="45" xfId="130" applyFont="1" applyBorder="1" applyAlignment="1">
      <alignment horizontal="center"/>
      <protection/>
    </xf>
    <xf numFmtId="0" fontId="80" fillId="0" borderId="21" xfId="53" applyFont="1" applyBorder="1" applyAlignment="1">
      <alignment horizontal="center"/>
      <protection/>
    </xf>
    <xf numFmtId="0" fontId="61" fillId="0" borderId="31" xfId="130" applyFont="1" applyBorder="1" applyAlignment="1">
      <alignment horizontal="center"/>
      <protection/>
    </xf>
    <xf numFmtId="0" fontId="44" fillId="0" borderId="22" xfId="56" applyFont="1" applyBorder="1" applyAlignment="1">
      <alignment horizontal="center"/>
      <protection/>
    </xf>
    <xf numFmtId="0" fontId="44" fillId="0" borderId="21" xfId="56" applyFont="1" applyBorder="1" applyAlignment="1">
      <alignment horizontal="center"/>
      <protection/>
    </xf>
    <xf numFmtId="0" fontId="41" fillId="0" borderId="23" xfId="53" applyFont="1" applyBorder="1" applyAlignment="1">
      <alignment horizontal="center"/>
      <protection/>
    </xf>
    <xf numFmtId="0" fontId="0" fillId="0" borderId="0" xfId="54" applyFont="1" applyAlignment="1">
      <alignment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0" fontId="83" fillId="0" borderId="0" xfId="54" applyFont="1" applyAlignment="1">
      <alignment horizontal="left" vertical="center"/>
      <protection/>
    </xf>
    <xf numFmtId="0" fontId="31" fillId="0" borderId="0" xfId="54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83" fillId="0" borderId="0" xfId="54" applyFont="1" applyAlignment="1">
      <alignment horizontal="center" vertical="center"/>
      <protection/>
    </xf>
    <xf numFmtId="0" fontId="84" fillId="0" borderId="0" xfId="54" applyFont="1" applyAlignment="1">
      <alignment horizontal="center" vertical="center"/>
      <protection/>
    </xf>
    <xf numFmtId="0" fontId="31" fillId="55" borderId="0" xfId="54" applyFont="1" applyFill="1" applyAlignment="1">
      <alignment horizontal="center" vertical="center"/>
      <protection/>
    </xf>
    <xf numFmtId="0" fontId="0" fillId="55" borderId="0" xfId="54" applyFont="1" applyFill="1" applyAlignment="1">
      <alignment vertical="center"/>
      <protection/>
    </xf>
    <xf numFmtId="0" fontId="83" fillId="55" borderId="0" xfId="54" applyFont="1" applyFill="1" applyAlignment="1">
      <alignment horizontal="left" vertical="center"/>
      <protection/>
    </xf>
    <xf numFmtId="0" fontId="51" fillId="55" borderId="0" xfId="129" applyFont="1" applyFill="1" applyAlignment="1">
      <alignment horizontal="center" vertical="center"/>
      <protection/>
    </xf>
    <xf numFmtId="0" fontId="83" fillId="55" borderId="0" xfId="54" applyFont="1" applyFill="1" applyAlignment="1">
      <alignment horizontal="center" vertical="center"/>
      <protection/>
    </xf>
    <xf numFmtId="0" fontId="0" fillId="55" borderId="0" xfId="54" applyFont="1" applyFill="1" applyAlignment="1">
      <alignment horizontal="center" vertical="center"/>
      <protection/>
    </xf>
    <xf numFmtId="0" fontId="0" fillId="55" borderId="0" xfId="54" applyFont="1" applyFill="1" applyAlignment="1">
      <alignment horizontal="left" vertical="center"/>
      <protection/>
    </xf>
    <xf numFmtId="0" fontId="85" fillId="55" borderId="0" xfId="129" applyFont="1" applyFill="1" applyAlignment="1">
      <alignment horizontal="center" vertical="center"/>
      <protection/>
    </xf>
    <xf numFmtId="0" fontId="84" fillId="0" borderId="19" xfId="54" applyFont="1" applyBorder="1" applyAlignment="1">
      <alignment horizontal="center" vertical="center"/>
      <protection/>
    </xf>
    <xf numFmtId="0" fontId="0" fillId="0" borderId="0" xfId="54" applyFont="1" applyFill="1" applyAlignment="1">
      <alignment horizontal="left" vertical="center"/>
      <protection/>
    </xf>
    <xf numFmtId="0" fontId="86" fillId="0" borderId="59" xfId="54" applyFont="1" applyBorder="1" applyAlignment="1">
      <alignment horizontal="center" vertical="center"/>
      <protection/>
    </xf>
    <xf numFmtId="0" fontId="87" fillId="0" borderId="60" xfId="129" applyFont="1" applyBorder="1" applyAlignment="1">
      <alignment horizontal="center" vertical="center"/>
      <protection/>
    </xf>
    <xf numFmtId="0" fontId="87" fillId="0" borderId="61" xfId="129" applyFont="1" applyBorder="1" applyAlignment="1">
      <alignment horizontal="center" vertical="center"/>
      <protection/>
    </xf>
    <xf numFmtId="0" fontId="89" fillId="0" borderId="62" xfId="54" applyFont="1" applyBorder="1" applyAlignment="1">
      <alignment horizontal="left" vertical="center"/>
      <protection/>
    </xf>
    <xf numFmtId="0" fontId="63" fillId="0" borderId="22" xfId="54" applyFont="1" applyBorder="1" applyAlignment="1">
      <alignment horizontal="center" vertical="center"/>
      <protection/>
    </xf>
    <xf numFmtId="0" fontId="90" fillId="0" borderId="63" xfId="54" applyFont="1" applyBorder="1" applyAlignment="1">
      <alignment horizontal="center" vertical="center"/>
      <protection/>
    </xf>
    <xf numFmtId="0" fontId="87" fillId="0" borderId="0" xfId="129" applyFont="1" applyAlignment="1">
      <alignment horizontal="center" vertical="center"/>
      <protection/>
    </xf>
    <xf numFmtId="0" fontId="91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9" fillId="0" borderId="64" xfId="54" applyFont="1" applyBorder="1" applyAlignment="1">
      <alignment horizontal="left" vertical="center"/>
      <protection/>
    </xf>
    <xf numFmtId="0" fontId="50" fillId="0" borderId="41" xfId="129" applyFont="1" applyBorder="1" applyAlignment="1">
      <alignment horizontal="center" vertical="center"/>
      <protection/>
    </xf>
    <xf numFmtId="0" fontId="63" fillId="0" borderId="21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21" xfId="54" applyFont="1" applyBorder="1" applyAlignment="1">
      <alignment horizontal="left" vertical="center"/>
      <protection/>
    </xf>
    <xf numFmtId="168" fontId="0" fillId="0" borderId="0" xfId="54" applyNumberFormat="1" applyFont="1" applyAlignment="1">
      <alignment horizontal="center" vertical="center"/>
      <protection/>
    </xf>
    <xf numFmtId="0" fontId="88" fillId="0" borderId="0" xfId="129" applyFont="1" applyAlignment="1">
      <alignment horizontal="center" vertical="center"/>
      <protection/>
    </xf>
    <xf numFmtId="168" fontId="63" fillId="0" borderId="22" xfId="54" applyNumberFormat="1" applyFont="1" applyBorder="1" applyAlignment="1">
      <alignment horizontal="center" vertical="center"/>
      <protection/>
    </xf>
    <xf numFmtId="0" fontId="63" fillId="7" borderId="21" xfId="0" applyFont="1" applyFill="1" applyBorder="1" applyAlignment="1">
      <alignment horizontal="center" vertical="center"/>
    </xf>
    <xf numFmtId="0" fontId="0" fillId="0" borderId="21" xfId="54" applyFont="1" applyBorder="1" applyAlignment="1">
      <alignment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65" xfId="54" applyFont="1" applyBorder="1" applyAlignment="1">
      <alignment horizontal="center" vertical="center"/>
      <protection/>
    </xf>
    <xf numFmtId="0" fontId="87" fillId="0" borderId="66" xfId="129" applyFont="1" applyBorder="1" applyAlignment="1">
      <alignment horizontal="center" vertical="center"/>
      <protection/>
    </xf>
    <xf numFmtId="0" fontId="87" fillId="0" borderId="67" xfId="129" applyFont="1" applyBorder="1" applyAlignment="1">
      <alignment horizontal="center" vertical="center"/>
      <protection/>
    </xf>
    <xf numFmtId="0" fontId="88" fillId="0" borderId="67" xfId="129" applyFont="1" applyBorder="1" applyAlignment="1">
      <alignment horizontal="center" vertical="center"/>
      <protection/>
    </xf>
    <xf numFmtId="0" fontId="89" fillId="0" borderId="68" xfId="54" applyFont="1" applyBorder="1" applyAlignment="1">
      <alignment horizontal="lef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89" fillId="0" borderId="0" xfId="54" applyFont="1" applyAlignment="1">
      <alignment horizontal="center" vertical="center"/>
      <protection/>
    </xf>
    <xf numFmtId="0" fontId="89" fillId="0" borderId="0" xfId="54" applyFont="1" applyAlignment="1">
      <alignment horizontal="left" vertical="center"/>
      <protection/>
    </xf>
    <xf numFmtId="0" fontId="0" fillId="0" borderId="31" xfId="0" applyFont="1" applyBorder="1" applyAlignment="1">
      <alignment horizontal="center" vertical="center"/>
    </xf>
    <xf numFmtId="0" fontId="63" fillId="7" borderId="42" xfId="0" applyFont="1" applyFill="1" applyBorder="1" applyAlignment="1">
      <alignment horizontal="center" vertical="center"/>
    </xf>
    <xf numFmtId="168" fontId="0" fillId="0" borderId="21" xfId="54" applyNumberFormat="1" applyFont="1" applyBorder="1" applyAlignment="1">
      <alignment horizontal="center" vertical="center"/>
      <protection/>
    </xf>
    <xf numFmtId="0" fontId="63" fillId="7" borderId="21" xfId="54" applyFont="1" applyFill="1" applyBorder="1" applyAlignment="1">
      <alignment horizontal="center" vertical="center"/>
      <protection/>
    </xf>
    <xf numFmtId="0" fontId="63" fillId="7" borderId="45" xfId="0" applyFont="1" applyFill="1" applyBorder="1" applyAlignment="1">
      <alignment horizontal="center" vertical="center"/>
    </xf>
    <xf numFmtId="0" fontId="63" fillId="0" borderId="45" xfId="54" applyFont="1" applyBorder="1" applyAlignment="1">
      <alignment horizontal="center" vertical="center"/>
      <protection/>
    </xf>
    <xf numFmtId="169" fontId="0" fillId="0" borderId="0" xfId="54" applyNumberFormat="1" applyFont="1" applyAlignment="1">
      <alignment horizontal="center" vertical="center"/>
      <protection/>
    </xf>
    <xf numFmtId="169" fontId="63" fillId="0" borderId="22" xfId="54" applyNumberFormat="1" applyFont="1" applyBorder="1" applyAlignment="1">
      <alignment horizontal="center" vertical="center"/>
      <protection/>
    </xf>
    <xf numFmtId="0" fontId="0" fillId="0" borderId="31" xfId="54" applyFont="1" applyBorder="1" applyAlignment="1">
      <alignment vertical="center"/>
      <protection/>
    </xf>
    <xf numFmtId="169" fontId="0" fillId="0" borderId="21" xfId="54" applyNumberFormat="1" applyFont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31" xfId="54" applyFont="1" applyBorder="1" applyAlignment="1">
      <alignment horizontal="center" vertical="center"/>
      <protection/>
    </xf>
    <xf numFmtId="0" fontId="63" fillId="7" borderId="20" xfId="0" applyFont="1" applyFill="1" applyBorder="1" applyAlignment="1">
      <alignment horizontal="center" vertical="center"/>
    </xf>
    <xf numFmtId="0" fontId="0" fillId="0" borderId="25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left" vertical="center"/>
      <protection/>
    </xf>
    <xf numFmtId="0" fontId="0" fillId="0" borderId="41" xfId="0" applyFont="1" applyBorder="1" applyAlignment="1">
      <alignment horizontal="center" vertical="center"/>
    </xf>
    <xf numFmtId="0" fontId="50" fillId="0" borderId="25" xfId="129" applyFont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3" fillId="7" borderId="41" xfId="54" applyFont="1" applyFill="1" applyBorder="1" applyAlignment="1">
      <alignment horizontal="center" vertical="center"/>
      <protection/>
    </xf>
    <xf numFmtId="0" fontId="0" fillId="0" borderId="23" xfId="54" applyFont="1" applyBorder="1" applyAlignment="1">
      <alignment horizontal="center" vertical="center"/>
      <protection/>
    </xf>
    <xf numFmtId="0" fontId="63" fillId="7" borderId="22" xfId="0" applyFont="1" applyFill="1" applyBorder="1" applyAlignment="1">
      <alignment horizontal="center" vertical="center"/>
    </xf>
    <xf numFmtId="0" fontId="23" fillId="0" borderId="0" xfId="54" applyFont="1" applyFill="1" applyAlignment="1">
      <alignment horizontal="left" vertical="center"/>
      <protection/>
    </xf>
    <xf numFmtId="0" fontId="63" fillId="57" borderId="21" xfId="0" applyFont="1" applyFill="1" applyBorder="1" applyAlignment="1">
      <alignment horizontal="center" vertical="center"/>
    </xf>
    <xf numFmtId="0" fontId="63" fillId="57" borderId="21" xfId="54" applyFont="1" applyFill="1" applyBorder="1" applyAlignment="1">
      <alignment horizontal="center" vertical="center"/>
      <protection/>
    </xf>
    <xf numFmtId="169" fontId="63" fillId="0" borderId="45" xfId="54" applyNumberFormat="1" applyFont="1" applyBorder="1" applyAlignment="1">
      <alignment horizontal="center" vertical="center"/>
      <protection/>
    </xf>
    <xf numFmtId="0" fontId="0" fillId="0" borderId="31" xfId="54" applyFont="1" applyBorder="1" applyAlignment="1">
      <alignment horizontal="left" vertical="center"/>
      <protection/>
    </xf>
    <xf numFmtId="0" fontId="0" fillId="0" borderId="21" xfId="0" applyFont="1" applyBorder="1" applyAlignment="1">
      <alignment vertical="center"/>
    </xf>
    <xf numFmtId="0" fontId="63" fillId="0" borderId="21" xfId="0" applyFont="1" applyBorder="1" applyAlignment="1">
      <alignment horizontal="center" vertical="center"/>
    </xf>
    <xf numFmtId="0" fontId="63" fillId="0" borderId="42" xfId="54" applyFont="1" applyBorder="1" applyAlignment="1">
      <alignment horizontal="center" vertical="center"/>
      <protection/>
    </xf>
    <xf numFmtId="169" fontId="63" fillId="0" borderId="22" xfId="54" applyNumberFormat="1" applyFont="1" applyFill="1" applyBorder="1" applyAlignment="1">
      <alignment horizontal="center" vertical="center"/>
      <protection/>
    </xf>
    <xf numFmtId="0" fontId="63" fillId="0" borderId="45" xfId="54" applyFont="1" applyFill="1" applyBorder="1" applyAlignment="1">
      <alignment horizontal="center" vertical="center"/>
      <protection/>
    </xf>
    <xf numFmtId="0" fontId="0" fillId="0" borderId="31" xfId="54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63" fillId="0" borderId="20" xfId="54" applyFont="1" applyFill="1" applyBorder="1" applyAlignment="1">
      <alignment horizontal="center" vertical="center"/>
      <protection/>
    </xf>
    <xf numFmtId="169" fontId="0" fillId="0" borderId="21" xfId="54" applyNumberFormat="1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3" xfId="54" applyFont="1" applyFill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left" vertical="center"/>
      <protection/>
    </xf>
    <xf numFmtId="0" fontId="63" fillId="0" borderId="20" xfId="54" applyFont="1" applyBorder="1" applyAlignment="1">
      <alignment horizontal="center" vertical="center"/>
      <protection/>
    </xf>
    <xf numFmtId="0" fontId="63" fillId="58" borderId="21" xfId="54" applyFont="1" applyFill="1" applyBorder="1" applyAlignment="1">
      <alignment horizontal="center" vertical="center"/>
      <protection/>
    </xf>
    <xf numFmtId="0" fontId="63" fillId="58" borderId="21" xfId="0" applyFont="1" applyFill="1" applyBorder="1" applyAlignment="1">
      <alignment horizontal="center" vertical="center"/>
    </xf>
    <xf numFmtId="0" fontId="44" fillId="0" borderId="0" xfId="53" applyFont="1" applyAlignment="1">
      <alignment horizontal="left" vertical="center"/>
      <protection/>
    </xf>
    <xf numFmtId="0" fontId="44" fillId="0" borderId="21" xfId="53" applyFont="1" applyBorder="1" applyAlignment="1">
      <alignment horizontal="left" vertical="center"/>
      <protection/>
    </xf>
    <xf numFmtId="0" fontId="41" fillId="0" borderId="21" xfId="53" applyFont="1" applyBorder="1" applyAlignment="1">
      <alignment horizontal="left" vertical="center"/>
      <protection/>
    </xf>
    <xf numFmtId="0" fontId="41" fillId="0" borderId="0" xfId="53" applyFont="1" applyBorder="1" applyAlignment="1">
      <alignment horizontal="left" vertical="center"/>
      <protection/>
    </xf>
    <xf numFmtId="0" fontId="47" fillId="0" borderId="21" xfId="53" applyFont="1" applyBorder="1" applyAlignment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63" fillId="0" borderId="25" xfId="54" applyFont="1" applyBorder="1" applyAlignment="1">
      <alignment horizontal="center" vertical="center"/>
      <protection/>
    </xf>
    <xf numFmtId="0" fontId="0" fillId="0" borderId="69" xfId="53" applyFont="1" applyBorder="1">
      <alignment/>
      <protection/>
    </xf>
    <xf numFmtId="0" fontId="63" fillId="0" borderId="0" xfId="54" applyFont="1" applyAlignment="1">
      <alignment horizontal="center" vertical="center"/>
      <protection/>
    </xf>
    <xf numFmtId="0" fontId="63" fillId="0" borderId="0" xfId="54" applyFont="1" applyAlignment="1">
      <alignment vertical="center"/>
      <protection/>
    </xf>
    <xf numFmtId="0" fontId="129" fillId="0" borderId="70" xfId="129" applyFont="1" applyBorder="1" applyAlignment="1">
      <alignment horizontal="center" vertical="center"/>
      <protection/>
    </xf>
    <xf numFmtId="0" fontId="129" fillId="0" borderId="71" xfId="129" applyFont="1" applyBorder="1" applyAlignment="1">
      <alignment horizontal="center" vertical="center"/>
      <protection/>
    </xf>
    <xf numFmtId="0" fontId="93" fillId="0" borderId="62" xfId="54" applyFont="1" applyBorder="1" applyAlignment="1">
      <alignment horizontal="left" vertical="center"/>
      <protection/>
    </xf>
    <xf numFmtId="0" fontId="86" fillId="0" borderId="63" xfId="54" applyFont="1" applyBorder="1" applyAlignment="1">
      <alignment horizontal="center" vertical="center"/>
      <protection/>
    </xf>
    <xf numFmtId="0" fontId="129" fillId="0" borderId="0" xfId="129" applyFont="1" applyAlignment="1">
      <alignment horizontal="center" vertical="center"/>
      <protection/>
    </xf>
    <xf numFmtId="0" fontId="129" fillId="0" borderId="0" xfId="0" applyFont="1" applyAlignment="1">
      <alignment horizontal="center" vertical="center"/>
    </xf>
    <xf numFmtId="0" fontId="93" fillId="0" borderId="64" xfId="54" applyFont="1" applyBorder="1" applyAlignment="1">
      <alignment horizontal="left" vertical="center"/>
      <protection/>
    </xf>
    <xf numFmtId="0" fontId="112" fillId="0" borderId="72" xfId="129" applyFont="1" applyBorder="1" applyAlignment="1">
      <alignment horizontal="center" vertical="center"/>
      <protection/>
    </xf>
    <xf numFmtId="0" fontId="63" fillId="0" borderId="41" xfId="54" applyFont="1" applyBorder="1" applyAlignment="1">
      <alignment horizontal="center" vertical="center"/>
      <protection/>
    </xf>
    <xf numFmtId="0" fontId="63" fillId="0" borderId="21" xfId="54" applyFont="1" applyBorder="1" applyAlignment="1">
      <alignment horizontal="left" vertical="center"/>
      <protection/>
    </xf>
    <xf numFmtId="20" fontId="63" fillId="0" borderId="0" xfId="54" applyNumberFormat="1" applyFont="1" applyAlignment="1">
      <alignment horizontal="center" vertical="center"/>
      <protection/>
    </xf>
    <xf numFmtId="20" fontId="63" fillId="0" borderId="22" xfId="54" applyNumberFormat="1" applyFont="1" applyBorder="1" applyAlignment="1">
      <alignment horizontal="center" vertical="center"/>
      <protection/>
    </xf>
    <xf numFmtId="0" fontId="63" fillId="0" borderId="31" xfId="54" applyFont="1" applyBorder="1" applyAlignment="1">
      <alignment vertical="center"/>
      <protection/>
    </xf>
    <xf numFmtId="0" fontId="63" fillId="0" borderId="21" xfId="0" applyFont="1" applyBorder="1" applyAlignment="1">
      <alignment horizontal="left" vertical="center"/>
    </xf>
    <xf numFmtId="0" fontId="63" fillId="0" borderId="65" xfId="54" applyFont="1" applyBorder="1" applyAlignment="1">
      <alignment horizontal="center" vertical="center"/>
      <protection/>
    </xf>
    <xf numFmtId="0" fontId="129" fillId="0" borderId="73" xfId="129" applyFont="1" applyBorder="1" applyAlignment="1">
      <alignment horizontal="center" vertical="center"/>
      <protection/>
    </xf>
    <xf numFmtId="0" fontId="129" fillId="0" borderId="74" xfId="129" applyFont="1" applyBorder="1" applyAlignment="1">
      <alignment horizontal="center" vertical="center"/>
      <protection/>
    </xf>
    <xf numFmtId="0" fontId="93" fillId="0" borderId="68" xfId="54" applyFont="1" applyBorder="1" applyAlignment="1">
      <alignment horizontal="left" vertical="center"/>
      <protection/>
    </xf>
    <xf numFmtId="0" fontId="63" fillId="0" borderId="31" xfId="0" applyFont="1" applyBorder="1" applyAlignment="1">
      <alignment horizontal="center" vertical="center"/>
    </xf>
    <xf numFmtId="0" fontId="63" fillId="0" borderId="31" xfId="0" applyFont="1" applyBorder="1" applyAlignment="1">
      <alignment horizontal="left" vertical="center"/>
    </xf>
    <xf numFmtId="0" fontId="93" fillId="0" borderId="0" xfId="54" applyFont="1" applyAlignment="1">
      <alignment horizontal="center" vertical="center"/>
      <protection/>
    </xf>
    <xf numFmtId="0" fontId="93" fillId="0" borderId="0" xfId="54" applyFont="1" applyAlignment="1">
      <alignment horizontal="left" vertical="center"/>
      <protection/>
    </xf>
    <xf numFmtId="0" fontId="63" fillId="0" borderId="0" xfId="54" applyFont="1" applyAlignment="1">
      <alignment horizontal="left" vertical="center"/>
      <protection/>
    </xf>
    <xf numFmtId="20" fontId="63" fillId="0" borderId="21" xfId="54" applyNumberFormat="1" applyFont="1" applyBorder="1" applyAlignment="1">
      <alignment horizontal="center" vertical="center"/>
      <protection/>
    </xf>
    <xf numFmtId="0" fontId="63" fillId="0" borderId="75" xfId="0" applyFont="1" applyBorder="1" applyAlignment="1">
      <alignment horizontal="center" vertical="center"/>
    </xf>
    <xf numFmtId="0" fontId="63" fillId="0" borderId="75" xfId="0" applyFont="1" applyBorder="1" applyAlignment="1">
      <alignment vertical="center"/>
    </xf>
    <xf numFmtId="0" fontId="63" fillId="0" borderId="75" xfId="54" applyFont="1" applyBorder="1" applyAlignment="1">
      <alignment horizontal="center" vertical="center"/>
      <protection/>
    </xf>
    <xf numFmtId="0" fontId="63" fillId="0" borderId="31" xfId="54" applyFont="1" applyBorder="1" applyAlignment="1">
      <alignment horizontal="center" vertical="center"/>
      <protection/>
    </xf>
    <xf numFmtId="0" fontId="63" fillId="0" borderId="23" xfId="54" applyFont="1" applyBorder="1" applyAlignment="1">
      <alignment horizontal="center" vertical="center"/>
      <protection/>
    </xf>
    <xf numFmtId="0" fontId="63" fillId="0" borderId="22" xfId="54" applyFont="1" applyBorder="1" applyAlignment="1">
      <alignment horizontal="left" vertical="center"/>
      <protection/>
    </xf>
    <xf numFmtId="0" fontId="63" fillId="0" borderId="75" xfId="54" applyFont="1" applyBorder="1" applyAlignment="1">
      <alignment vertical="center"/>
      <protection/>
    </xf>
    <xf numFmtId="0" fontId="63" fillId="0" borderId="75" xfId="54" applyFont="1" applyBorder="1" applyAlignment="1">
      <alignment horizontal="left" vertical="center"/>
      <protection/>
    </xf>
    <xf numFmtId="0" fontId="63" fillId="0" borderId="4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0" xfId="54" applyFont="1" applyFill="1" applyAlignment="1">
      <alignment horizontal="left" vertical="center"/>
      <protection/>
    </xf>
    <xf numFmtId="0" fontId="63" fillId="0" borderId="24" xfId="54" applyFont="1" applyBorder="1" applyAlignment="1">
      <alignment horizontal="left" vertical="center"/>
      <protection/>
    </xf>
    <xf numFmtId="0" fontId="0" fillId="0" borderId="21" xfId="53" applyFont="1" applyBorder="1" applyAlignment="1">
      <alignment horizontal="left" vertical="center"/>
      <protection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58" applyFont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63" fillId="58" borderId="75" xfId="54" applyFont="1" applyFill="1" applyBorder="1" applyAlignment="1">
      <alignment horizontal="center" vertical="center"/>
      <protection/>
    </xf>
    <xf numFmtId="0" fontId="49" fillId="0" borderId="0" xfId="58" applyFont="1">
      <alignment/>
      <protection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center"/>
    </xf>
    <xf numFmtId="0" fontId="69" fillId="0" borderId="0" xfId="58" applyFont="1" applyBorder="1" applyAlignment="1">
      <alignment horizontal="center"/>
      <protection/>
    </xf>
    <xf numFmtId="0" fontId="63" fillId="0" borderId="0" xfId="132" applyFont="1" applyAlignment="1">
      <alignment horizontal="center"/>
      <protection/>
    </xf>
    <xf numFmtId="0" fontId="55" fillId="0" borderId="0" xfId="0" applyFont="1" applyAlignment="1">
      <alignment horizontal="center" vertical="center"/>
    </xf>
    <xf numFmtId="0" fontId="121" fillId="0" borderId="14" xfId="154" applyAlignment="1">
      <alignment horizontal="left" vertical="top"/>
    </xf>
    <xf numFmtId="0" fontId="130" fillId="0" borderId="0" xfId="0" applyFont="1" applyAlignment="1">
      <alignment horizontal="center" vertical="top"/>
    </xf>
    <xf numFmtId="0" fontId="125" fillId="44" borderId="17" xfId="159" applyAlignment="1">
      <alignment horizontal="center" vertical="top"/>
    </xf>
    <xf numFmtId="0" fontId="13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6" fillId="0" borderId="0" xfId="0" applyFont="1" applyAlignment="1">
      <alignment horizontal="center" vertical="top"/>
    </xf>
    <xf numFmtId="0" fontId="22" fillId="0" borderId="0" xfId="132" applyFont="1" applyAlignment="1">
      <alignment horizontal="center"/>
      <protection/>
    </xf>
    <xf numFmtId="0" fontId="49" fillId="0" borderId="75" xfId="0" applyFont="1" applyBorder="1" applyAlignment="1">
      <alignment horizontal="center" vertical="center"/>
    </xf>
    <xf numFmtId="0" fontId="22" fillId="0" borderId="75" xfId="58" applyFont="1" applyBorder="1" applyAlignment="1">
      <alignment horizontal="center"/>
      <protection/>
    </xf>
    <xf numFmtId="0" fontId="49" fillId="0" borderId="45" xfId="58" applyFont="1" applyBorder="1" applyAlignment="1">
      <alignment horizontal="center"/>
      <protection/>
    </xf>
    <xf numFmtId="0" fontId="49" fillId="0" borderId="23" xfId="58" applyFont="1" applyBorder="1" applyAlignment="1">
      <alignment horizontal="center"/>
      <protection/>
    </xf>
    <xf numFmtId="0" fontId="49" fillId="0" borderId="0" xfId="58" applyFont="1" applyAlignment="1">
      <alignment horizontal="center" vertical="top"/>
      <protection/>
    </xf>
    <xf numFmtId="0" fontId="22" fillId="0" borderId="0" xfId="132" applyFont="1" applyAlignment="1">
      <alignment horizontal="center" vertical="top"/>
      <protection/>
    </xf>
    <xf numFmtId="0" fontId="50" fillId="0" borderId="0" xfId="132" applyFont="1" applyAlignment="1">
      <alignment horizontal="center" vertical="top"/>
      <protection/>
    </xf>
    <xf numFmtId="0" fontId="49" fillId="0" borderId="19" xfId="58" applyFont="1" applyBorder="1" applyAlignment="1">
      <alignment horizontal="center" vertical="top"/>
      <protection/>
    </xf>
    <xf numFmtId="0" fontId="49" fillId="0" borderId="21" xfId="58" applyFont="1" applyBorder="1" applyAlignment="1">
      <alignment horizontal="center" vertical="top"/>
      <protection/>
    </xf>
    <xf numFmtId="0" fontId="53" fillId="0" borderId="0" xfId="58" applyFont="1" applyAlignment="1">
      <alignment horizontal="center" vertical="top"/>
      <protection/>
    </xf>
    <xf numFmtId="0" fontId="49" fillId="0" borderId="0" xfId="0" applyFont="1" applyAlignment="1">
      <alignment horizontal="center" vertical="top"/>
    </xf>
    <xf numFmtId="0" fontId="49" fillId="0" borderId="45" xfId="0" applyFont="1" applyBorder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49" fillId="0" borderId="26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70" fillId="0" borderId="77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47" fillId="0" borderId="21" xfId="128" applyFont="1" applyBorder="1" applyAlignment="1">
      <alignment horizontal="center"/>
      <protection/>
    </xf>
    <xf numFmtId="0" fontId="44" fillId="0" borderId="21" xfId="128" applyFont="1" applyBorder="1" applyAlignment="1">
      <alignment horizontal="center"/>
      <protection/>
    </xf>
    <xf numFmtId="0" fontId="47" fillId="0" borderId="21" xfId="130" applyFont="1" applyBorder="1" applyAlignment="1">
      <alignment horizontal="center"/>
      <protection/>
    </xf>
    <xf numFmtId="0" fontId="112" fillId="0" borderId="78" xfId="129" applyFont="1" applyBorder="1" applyAlignment="1">
      <alignment horizontal="center" vertical="center"/>
      <protection/>
    </xf>
    <xf numFmtId="0" fontId="112" fillId="0" borderId="79" xfId="129" applyFont="1" applyBorder="1" applyAlignment="1">
      <alignment horizontal="center" vertical="center"/>
      <protection/>
    </xf>
    <xf numFmtId="0" fontId="112" fillId="0" borderId="80" xfId="129" applyFont="1" applyBorder="1" applyAlignment="1">
      <alignment horizontal="center" vertical="center"/>
      <protection/>
    </xf>
    <xf numFmtId="0" fontId="63" fillId="0" borderId="24" xfId="54" applyFont="1" applyBorder="1" applyAlignment="1">
      <alignment horizontal="center" vertical="center"/>
      <protection/>
    </xf>
    <xf numFmtId="0" fontId="63" fillId="0" borderId="0" xfId="54" applyFont="1" applyAlignment="1">
      <alignment horizontal="center" vertical="center"/>
      <protection/>
    </xf>
    <xf numFmtId="0" fontId="63" fillId="0" borderId="26" xfId="54" applyFont="1" applyBorder="1" applyAlignment="1">
      <alignment horizontal="center" vertical="center"/>
      <protection/>
    </xf>
    <xf numFmtId="0" fontId="95" fillId="0" borderId="81" xfId="54" applyFont="1" applyBorder="1" applyAlignment="1">
      <alignment horizontal="center" vertical="center"/>
      <protection/>
    </xf>
    <xf numFmtId="0" fontId="95" fillId="0" borderId="82" xfId="54" applyFont="1" applyBorder="1" applyAlignment="1">
      <alignment horizontal="center" vertical="center"/>
      <protection/>
    </xf>
    <xf numFmtId="0" fontId="95" fillId="0" borderId="83" xfId="54" applyFont="1" applyBorder="1" applyAlignment="1">
      <alignment horizontal="center" vertical="center"/>
      <protection/>
    </xf>
    <xf numFmtId="0" fontId="95" fillId="0" borderId="84" xfId="54" applyFont="1" applyBorder="1" applyAlignment="1">
      <alignment horizontal="center" vertical="center"/>
      <protection/>
    </xf>
    <xf numFmtId="0" fontId="95" fillId="0" borderId="0" xfId="54" applyFont="1" applyBorder="1" applyAlignment="1">
      <alignment horizontal="center" vertical="center"/>
      <protection/>
    </xf>
    <xf numFmtId="0" fontId="95" fillId="0" borderId="77" xfId="54" applyFont="1" applyBorder="1" applyAlignment="1">
      <alignment horizontal="center" vertical="center"/>
      <protection/>
    </xf>
    <xf numFmtId="0" fontId="95" fillId="0" borderId="85" xfId="54" applyFont="1" applyBorder="1" applyAlignment="1">
      <alignment horizontal="center" vertical="center"/>
      <protection/>
    </xf>
    <xf numFmtId="0" fontId="95" fillId="0" borderId="86" xfId="54" applyFont="1" applyBorder="1" applyAlignment="1">
      <alignment horizontal="center" vertical="center"/>
      <protection/>
    </xf>
    <xf numFmtId="0" fontId="95" fillId="0" borderId="87" xfId="54" applyFont="1" applyBorder="1" applyAlignment="1">
      <alignment horizontal="center" vertical="center"/>
      <protection/>
    </xf>
    <xf numFmtId="0" fontId="92" fillId="0" borderId="21" xfId="0" applyFont="1" applyBorder="1" applyAlignment="1">
      <alignment horizontal="center" vertical="center"/>
    </xf>
    <xf numFmtId="0" fontId="22" fillId="0" borderId="21" xfId="129" applyFont="1" applyBorder="1" applyAlignment="1">
      <alignment horizontal="center" vertical="center"/>
      <protection/>
    </xf>
    <xf numFmtId="0" fontId="63" fillId="0" borderId="25" xfId="54" applyFont="1" applyBorder="1" applyAlignment="1">
      <alignment horizontal="center" vertical="center"/>
      <protection/>
    </xf>
    <xf numFmtId="0" fontId="63" fillId="0" borderId="21" xfId="54" applyFont="1" applyBorder="1" applyAlignment="1">
      <alignment horizontal="center" vertical="center"/>
      <protection/>
    </xf>
    <xf numFmtId="0" fontId="63" fillId="0" borderId="25" xfId="54" applyFont="1" applyFill="1" applyBorder="1" applyAlignment="1">
      <alignment horizontal="center" vertical="center"/>
      <protection/>
    </xf>
    <xf numFmtId="20" fontId="0" fillId="0" borderId="0" xfId="53" applyNumberFormat="1" applyFont="1" applyAlignment="1">
      <alignment horizontal="left"/>
      <protection/>
    </xf>
  </cellXfs>
  <cellStyles count="149">
    <cellStyle name="Normal" xfId="0"/>
    <cellStyle name="?" xfId="15"/>
    <cellStyle name="? 1" xfId="16"/>
    <cellStyle name="? 1 2" xfId="17"/>
    <cellStyle name="? 2" xfId="18"/>
    <cellStyle name="??" xfId="19"/>
    <cellStyle name="?? 1" xfId="20"/>
    <cellStyle name="?? 1 1" xfId="21"/>
    <cellStyle name="?? 1 1 2" xfId="22"/>
    <cellStyle name="?? 1 2" xfId="23"/>
    <cellStyle name="?? 2" xfId="24"/>
    <cellStyle name="?? 2 1" xfId="25"/>
    <cellStyle name="?? 2 1 2" xfId="26"/>
    <cellStyle name="?? 2 2" xfId="27"/>
    <cellStyle name="?? 3" xfId="28"/>
    <cellStyle name="?? 3 1" xfId="29"/>
    <cellStyle name="?? 3 1 2" xfId="30"/>
    <cellStyle name="?? 3 2" xfId="31"/>
    <cellStyle name="?? 4" xfId="32"/>
    <cellStyle name="?? 4 2" xfId="33"/>
    <cellStyle name="?? 5" xfId="34"/>
    <cellStyle name="?? 5 2" xfId="35"/>
    <cellStyle name="?? 6" xfId="36"/>
    <cellStyle name="?? 6 2" xfId="37"/>
    <cellStyle name="?? 7" xfId="38"/>
    <cellStyle name="?? 7 2" xfId="39"/>
    <cellStyle name="?? 8" xfId="40"/>
    <cellStyle name="?? 8 2" xfId="41"/>
    <cellStyle name="?? 9" xfId="42"/>
    <cellStyle name="????" xfId="43"/>
    <cellStyle name="???? 1" xfId="44"/>
    <cellStyle name="???? 1 2" xfId="45"/>
    <cellStyle name="???? 2" xfId="46"/>
    <cellStyle name="???? 2 2" xfId="47"/>
    <cellStyle name="???? 3" xfId="48"/>
    <cellStyle name="?????" xfId="49"/>
    <cellStyle name="????? 2" xfId="50"/>
    <cellStyle name="??????" xfId="51"/>
    <cellStyle name="?????? 2" xfId="52"/>
    <cellStyle name="??_LCSDCup_Information" xfId="53"/>
    <cellStyle name="??_LCSDCup_Information 2" xfId="54"/>
    <cellStyle name="??_LCSDCup_Information_2005LCSD INFORMATION" xfId="55"/>
    <cellStyle name="??_LCSDCup_Information_2005LCSD INFORMATION_INFORMATION OF GC2_2013" xfId="56"/>
    <cellStyle name="??_LCSDCup_Information_2005LCSD INFORMATION_INFORMATION OF LCSD 2012" xfId="57"/>
    <cellStyle name="??_MEN_32_To8" xfId="58"/>
    <cellStyle name="??1" xfId="59"/>
    <cellStyle name="??1 2" xfId="60"/>
    <cellStyle name="??2" xfId="61"/>
    <cellStyle name="??2 2" xfId="62"/>
    <cellStyle name="??3" xfId="63"/>
    <cellStyle name="??3 2" xfId="64"/>
    <cellStyle name="??4" xfId="65"/>
    <cellStyle name="??4 2" xfId="66"/>
    <cellStyle name="??5" xfId="67"/>
    <cellStyle name="??5 2" xfId="68"/>
    <cellStyle name="??6" xfId="69"/>
    <cellStyle name="??6 2" xfId="70"/>
    <cellStyle name="20% - ??1" xfId="71"/>
    <cellStyle name="20% - ??1 2" xfId="72"/>
    <cellStyle name="20% - ??2" xfId="73"/>
    <cellStyle name="20% - ??2 2" xfId="74"/>
    <cellStyle name="20% - ??3" xfId="75"/>
    <cellStyle name="20% - ??3 2" xfId="76"/>
    <cellStyle name="20% - ??4" xfId="77"/>
    <cellStyle name="20% - ??4 2" xfId="78"/>
    <cellStyle name="20% - ??5" xfId="79"/>
    <cellStyle name="20% - ??5 2" xfId="80"/>
    <cellStyle name="20% - ??6" xfId="81"/>
    <cellStyle name="20% - ??6 2" xfId="82"/>
    <cellStyle name="20% - 輔色1" xfId="83"/>
    <cellStyle name="20% - 輔色2" xfId="84"/>
    <cellStyle name="20% - 輔色3" xfId="85"/>
    <cellStyle name="20% - 輔色4" xfId="86"/>
    <cellStyle name="20% - 輔色5" xfId="87"/>
    <cellStyle name="20% - 輔色6" xfId="88"/>
    <cellStyle name="40% - ??1" xfId="89"/>
    <cellStyle name="40% - ??1 2" xfId="90"/>
    <cellStyle name="40% - ??2" xfId="91"/>
    <cellStyle name="40% - ??2 2" xfId="92"/>
    <cellStyle name="40% - ??3" xfId="93"/>
    <cellStyle name="40% - ??3 2" xfId="94"/>
    <cellStyle name="40% - ??4" xfId="95"/>
    <cellStyle name="40% - ??4 2" xfId="96"/>
    <cellStyle name="40% - ??5" xfId="97"/>
    <cellStyle name="40% - ??5 2" xfId="98"/>
    <cellStyle name="40% - ??6" xfId="99"/>
    <cellStyle name="40% - ??6 2" xfId="100"/>
    <cellStyle name="40% - 輔色1" xfId="101"/>
    <cellStyle name="40% - 輔色2" xfId="102"/>
    <cellStyle name="40% - 輔色3" xfId="103"/>
    <cellStyle name="40% - 輔色4" xfId="104"/>
    <cellStyle name="40% - 輔色5" xfId="105"/>
    <cellStyle name="40% - 輔色6" xfId="106"/>
    <cellStyle name="60% - ??1" xfId="107"/>
    <cellStyle name="60% - ??1 2" xfId="108"/>
    <cellStyle name="60% - ??2" xfId="109"/>
    <cellStyle name="60% - ??2 2" xfId="110"/>
    <cellStyle name="60% - ??3" xfId="111"/>
    <cellStyle name="60% - ??3 2" xfId="112"/>
    <cellStyle name="60% - ??4" xfId="113"/>
    <cellStyle name="60% - ??4 2" xfId="114"/>
    <cellStyle name="60% - ??5" xfId="115"/>
    <cellStyle name="60% - ??5 2" xfId="116"/>
    <cellStyle name="60% - ??6" xfId="117"/>
    <cellStyle name="60% - ??6 2" xfId="118"/>
    <cellStyle name="60% - 輔色1" xfId="119"/>
    <cellStyle name="60% - 輔色2" xfId="120"/>
    <cellStyle name="60% - 輔色3" xfId="121"/>
    <cellStyle name="60% - 輔色4" xfId="122"/>
    <cellStyle name="60% - 輔色5" xfId="123"/>
    <cellStyle name="60% - 輔色6" xfId="124"/>
    <cellStyle name="一般 2" xfId="125"/>
    <cellStyle name="一般 3" xfId="126"/>
    <cellStyle name="一般 4" xfId="127"/>
    <cellStyle name="一般_LCSDCup_Information" xfId="128"/>
    <cellStyle name="一般_LCSDCup_Information 2" xfId="129"/>
    <cellStyle name="一般_LCSDCup_Information_2005LCSD INFORMATION" xfId="130"/>
    <cellStyle name="一般_LCSDCup_Information_2005LCSD INFORMATION_INFORMATION OF LCSD 2012" xfId="131"/>
    <cellStyle name="一般_MEN_32_To8" xfId="132"/>
    <cellStyle name="Comma" xfId="133"/>
    <cellStyle name="Comma [0]" xfId="134"/>
    <cellStyle name="中等" xfId="135"/>
    <cellStyle name="合計" xfId="136"/>
    <cellStyle name="好" xfId="137"/>
    <cellStyle name="Percent" xfId="138"/>
    <cellStyle name="計算方式" xfId="139"/>
    <cellStyle name="Currency" xfId="140"/>
    <cellStyle name="Currency [0]" xfId="141"/>
    <cellStyle name="連結的儲存格" xfId="142"/>
    <cellStyle name="備註" xfId="143"/>
    <cellStyle name="㽎㼿㼿㼿㼿㼿?" xfId="144"/>
    <cellStyle name="㽎㼿㼿㼿㼿㼿㼿㼿㼿㼿㼿" xfId="145"/>
    <cellStyle name="說明文字" xfId="146"/>
    <cellStyle name="輔色1" xfId="147"/>
    <cellStyle name="輔色2" xfId="148"/>
    <cellStyle name="輔色3" xfId="149"/>
    <cellStyle name="輔色4" xfId="150"/>
    <cellStyle name="輔色5" xfId="151"/>
    <cellStyle name="輔色6" xfId="152"/>
    <cellStyle name="標題" xfId="153"/>
    <cellStyle name="標題 1" xfId="154"/>
    <cellStyle name="標題 2" xfId="155"/>
    <cellStyle name="標題 3" xfId="156"/>
    <cellStyle name="標題 4" xfId="157"/>
    <cellStyle name="輸入" xfId="158"/>
    <cellStyle name="輸出" xfId="159"/>
    <cellStyle name="檢查儲存格" xfId="160"/>
    <cellStyle name="壞" xfId="161"/>
    <cellStyle name="警告文字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zoomScale="85" zoomScaleNormal="85" zoomScalePageLayoutView="0" workbookViewId="0" topLeftCell="A1">
      <selection activeCell="B12" sqref="B12"/>
    </sheetView>
  </sheetViews>
  <sheetFormatPr defaultColWidth="7.3984375" defaultRowHeight="15"/>
  <cols>
    <col min="1" max="1" width="9.19921875" style="1" customWidth="1"/>
    <col min="2" max="2" width="93.09765625" style="0" customWidth="1"/>
  </cols>
  <sheetData>
    <row r="1" spans="1:2" s="4" customFormat="1" ht="33" customHeight="1">
      <c r="A1" s="2" t="s">
        <v>0</v>
      </c>
      <c r="B1" s="3" t="s">
        <v>1</v>
      </c>
    </row>
    <row r="2" spans="1:2" s="4" customFormat="1" ht="27" customHeight="1">
      <c r="A2" s="3"/>
      <c r="B2" s="3" t="s">
        <v>2</v>
      </c>
    </row>
    <row r="3" s="4" customFormat="1" ht="15.75">
      <c r="A3" s="2"/>
    </row>
    <row r="4" spans="1:2" s="4" customFormat="1" ht="17.25" customHeight="1">
      <c r="A4" s="5" t="s">
        <v>3</v>
      </c>
      <c r="B4" s="6" t="s">
        <v>4</v>
      </c>
    </row>
    <row r="5" spans="1:2" s="4" customFormat="1" ht="17.25" customHeight="1">
      <c r="A5" s="5"/>
      <c r="B5" s="6" t="s">
        <v>5</v>
      </c>
    </row>
    <row r="6" spans="1:2" s="4" customFormat="1" ht="17.25" customHeight="1">
      <c r="A6" s="5" t="s">
        <v>6</v>
      </c>
      <c r="B6" s="6" t="s">
        <v>7</v>
      </c>
    </row>
    <row r="7" spans="1:2" s="4" customFormat="1" ht="17.25" customHeight="1">
      <c r="A7" s="5" t="s">
        <v>8</v>
      </c>
      <c r="B7" s="7" t="s">
        <v>9</v>
      </c>
    </row>
    <row r="8" spans="1:2" s="4" customFormat="1" ht="17.25" customHeight="1">
      <c r="A8" s="8"/>
      <c r="B8" s="6" t="s">
        <v>10</v>
      </c>
    </row>
    <row r="9" spans="1:2" s="4" customFormat="1" ht="17.25" customHeight="1">
      <c r="A9" s="8"/>
      <c r="B9" s="6" t="s">
        <v>11</v>
      </c>
    </row>
    <row r="10" spans="1:2" s="4" customFormat="1" ht="17.25" customHeight="1">
      <c r="A10" s="8"/>
      <c r="B10" s="9" t="s">
        <v>12</v>
      </c>
    </row>
    <row r="11" spans="1:2" s="4" customFormat="1" ht="17.25" customHeight="1">
      <c r="A11" s="8"/>
      <c r="B11" s="9" t="s">
        <v>13</v>
      </c>
    </row>
    <row r="12" spans="1:2" s="4" customFormat="1" ht="17.25" customHeight="1">
      <c r="A12" s="8"/>
      <c r="B12" s="9" t="s">
        <v>14</v>
      </c>
    </row>
    <row r="13" spans="1:2" s="4" customFormat="1" ht="17.25" customHeight="1">
      <c r="A13" s="8"/>
      <c r="B13" s="9" t="s">
        <v>15</v>
      </c>
    </row>
    <row r="14" spans="1:2" s="9" customFormat="1" ht="17.25" customHeight="1">
      <c r="A14" s="8"/>
      <c r="B14" s="9" t="s">
        <v>16</v>
      </c>
    </row>
    <row r="15" spans="1:2" s="4" customFormat="1" ht="15.75">
      <c r="A15" s="8"/>
      <c r="B15" s="10" t="s">
        <v>17</v>
      </c>
    </row>
    <row r="16" spans="1:2" s="4" customFormat="1" ht="17.25" customHeight="1">
      <c r="A16" s="8"/>
      <c r="B16" s="10"/>
    </row>
    <row r="17" spans="1:2" s="4" customFormat="1" ht="15.75">
      <c r="A17" s="5"/>
      <c r="B17" s="10" t="s">
        <v>18</v>
      </c>
    </row>
    <row r="18" s="4" customFormat="1" ht="15.75" hidden="1">
      <c r="A18" s="2"/>
    </row>
    <row r="19" spans="1:2" s="4" customFormat="1" ht="27" hidden="1">
      <c r="A19" s="2"/>
      <c r="B19" s="11" t="s">
        <v>19</v>
      </c>
    </row>
    <row r="20" spans="1:2" s="4" customFormat="1" ht="15.75" hidden="1">
      <c r="A20" s="2" t="s">
        <v>20</v>
      </c>
      <c r="B20" s="4" t="s">
        <v>21</v>
      </c>
    </row>
    <row r="21" spans="1:2" s="4" customFormat="1" ht="15.75" hidden="1">
      <c r="A21" s="2"/>
      <c r="B21" s="4" t="s">
        <v>22</v>
      </c>
    </row>
    <row r="22" spans="1:2" s="4" customFormat="1" ht="15.75" hidden="1">
      <c r="A22" s="2" t="s">
        <v>23</v>
      </c>
      <c r="B22" s="4" t="s">
        <v>24</v>
      </c>
    </row>
    <row r="23" spans="1:2" s="4" customFormat="1" ht="15.75" hidden="1">
      <c r="A23" s="2" t="s">
        <v>25</v>
      </c>
      <c r="B23" s="4" t="s">
        <v>26</v>
      </c>
    </row>
    <row r="24" spans="1:2" s="4" customFormat="1" ht="15.75" hidden="1">
      <c r="A24" s="2"/>
      <c r="B24" s="4" t="s">
        <v>27</v>
      </c>
    </row>
    <row r="25" spans="1:2" s="4" customFormat="1" ht="15.75" hidden="1">
      <c r="A25" s="2"/>
      <c r="B25" s="4" t="s">
        <v>28</v>
      </c>
    </row>
    <row r="26" spans="1:2" s="4" customFormat="1" ht="15.75" hidden="1">
      <c r="A26" s="2"/>
      <c r="B26" s="12" t="s">
        <v>29</v>
      </c>
    </row>
    <row r="27" spans="1:2" s="4" customFormat="1" ht="15.75" hidden="1">
      <c r="A27" s="2"/>
      <c r="B27" s="4" t="s">
        <v>30</v>
      </c>
    </row>
    <row r="28" spans="1:2" s="4" customFormat="1" ht="15.75" hidden="1">
      <c r="A28" s="2"/>
      <c r="B28" s="4" t="s">
        <v>31</v>
      </c>
    </row>
    <row r="29" spans="1:2" s="4" customFormat="1" ht="15.75" hidden="1">
      <c r="A29" s="2"/>
      <c r="B29" s="4" t="s">
        <v>32</v>
      </c>
    </row>
    <row r="30" spans="1:2" s="4" customFormat="1" ht="15.75" hidden="1">
      <c r="A30" s="2"/>
      <c r="B30" s="4" t="s">
        <v>33</v>
      </c>
    </row>
    <row r="31" spans="1:2" s="4" customFormat="1" ht="15.75" hidden="1">
      <c r="A31" s="2"/>
      <c r="B31" s="13" t="s">
        <v>34</v>
      </c>
    </row>
    <row r="32" spans="1:2" s="4" customFormat="1" ht="15.75" hidden="1">
      <c r="A32" s="2"/>
      <c r="B32" s="4" t="s">
        <v>35</v>
      </c>
    </row>
    <row r="33" spans="1:2" s="4" customFormat="1" ht="15.75" hidden="1">
      <c r="A33" s="2"/>
      <c r="B33" s="4" t="s">
        <v>36</v>
      </c>
    </row>
    <row r="34" spans="1:2" s="4" customFormat="1" ht="15.75" hidden="1">
      <c r="A34" s="2"/>
      <c r="B34" s="4" t="s">
        <v>37</v>
      </c>
    </row>
    <row r="35" spans="1:2" s="4" customFormat="1" ht="15.75" hidden="1">
      <c r="A35" s="2"/>
      <c r="B35" s="14" t="s">
        <v>38</v>
      </c>
    </row>
    <row r="36" spans="1:2" s="4" customFormat="1" ht="15.75" hidden="1">
      <c r="A36" s="2"/>
      <c r="B36" s="12" t="s">
        <v>39</v>
      </c>
    </row>
    <row r="37" spans="1:2" s="4" customFormat="1" ht="15.75">
      <c r="A37" s="2"/>
      <c r="B37" s="4" t="s">
        <v>40</v>
      </c>
    </row>
    <row r="38" s="4" customFormat="1" ht="15.75">
      <c r="A38" s="2"/>
    </row>
    <row r="39" spans="1:2" s="4" customFormat="1" ht="15.75">
      <c r="A39" s="2"/>
      <c r="B39" s="4" t="s">
        <v>1164</v>
      </c>
    </row>
    <row r="40" s="4" customFormat="1" ht="15.75">
      <c r="A40" s="2"/>
    </row>
    <row r="41" spans="1:2" s="4" customFormat="1" ht="27">
      <c r="A41" s="2"/>
      <c r="B41" s="11" t="s">
        <v>19</v>
      </c>
    </row>
    <row r="42" spans="1:2" s="4" customFormat="1" ht="15.75">
      <c r="A42" s="2"/>
      <c r="B42" s="4" t="s">
        <v>21</v>
      </c>
    </row>
    <row r="43" spans="1:2" s="4" customFormat="1" ht="15.75">
      <c r="A43" s="2"/>
      <c r="B43" s="4" t="s">
        <v>22</v>
      </c>
    </row>
    <row r="44" spans="1:2" s="4" customFormat="1" ht="15.75">
      <c r="A44" s="2"/>
      <c r="B44" s="4" t="s">
        <v>24</v>
      </c>
    </row>
    <row r="45" spans="1:2" s="4" customFormat="1" ht="15.75">
      <c r="A45" s="2"/>
      <c r="B45" s="4" t="s">
        <v>26</v>
      </c>
    </row>
    <row r="46" spans="1:2" s="4" customFormat="1" ht="15.75">
      <c r="A46" s="2"/>
      <c r="B46" s="4" t="s">
        <v>27</v>
      </c>
    </row>
    <row r="47" spans="1:2" s="4" customFormat="1" ht="15.75">
      <c r="A47" s="2"/>
      <c r="B47" s="4" t="s">
        <v>28</v>
      </c>
    </row>
    <row r="48" spans="1:2" s="4" customFormat="1" ht="15.75">
      <c r="A48" s="2"/>
      <c r="B48" s="4" t="s">
        <v>41</v>
      </c>
    </row>
    <row r="49" spans="1:2" s="4" customFormat="1" ht="15.75">
      <c r="A49" s="2"/>
      <c r="B49" s="4" t="s">
        <v>30</v>
      </c>
    </row>
    <row r="50" spans="1:2" s="4" customFormat="1" ht="15.75">
      <c r="A50" s="2"/>
      <c r="B50" s="4" t="s">
        <v>42</v>
      </c>
    </row>
    <row r="51" spans="1:2" s="4" customFormat="1" ht="15.75">
      <c r="A51" s="2"/>
      <c r="B51" s="4" t="s">
        <v>43</v>
      </c>
    </row>
    <row r="52" spans="1:2" s="4" customFormat="1" ht="15.75">
      <c r="A52" s="2"/>
      <c r="B52" s="4" t="s">
        <v>32</v>
      </c>
    </row>
    <row r="53" spans="1:2" s="4" customFormat="1" ht="15.75">
      <c r="A53" s="2"/>
      <c r="B53" s="4" t="s">
        <v>44</v>
      </c>
    </row>
    <row r="54" spans="1:2" s="4" customFormat="1" ht="15.75">
      <c r="A54" s="2"/>
      <c r="B54" s="4" t="s">
        <v>34</v>
      </c>
    </row>
    <row r="55" spans="1:2" s="4" customFormat="1" ht="15.75">
      <c r="A55" s="2"/>
      <c r="B55" s="4" t="s">
        <v>35</v>
      </c>
    </row>
    <row r="56" spans="1:2" s="4" customFormat="1" ht="15.75">
      <c r="A56" s="2"/>
      <c r="B56" s="4" t="s">
        <v>36</v>
      </c>
    </row>
    <row r="57" spans="1:2" s="4" customFormat="1" ht="15.75">
      <c r="A57" s="2"/>
      <c r="B57" s="4" t="s">
        <v>37</v>
      </c>
    </row>
    <row r="58" spans="1:2" s="4" customFormat="1" ht="15.75">
      <c r="A58" s="2"/>
      <c r="B58" s="4" t="s">
        <v>38</v>
      </c>
    </row>
    <row r="59" spans="1:2" s="4" customFormat="1" ht="15.75">
      <c r="A59" s="2"/>
      <c r="B59" s="4" t="s">
        <v>39</v>
      </c>
    </row>
    <row r="60" spans="1:2" s="4" customFormat="1" ht="15.75">
      <c r="A60" s="2"/>
      <c r="B60" s="4" t="s">
        <v>40</v>
      </c>
    </row>
    <row r="61" s="4" customFormat="1" ht="15.75">
      <c r="A61" s="2"/>
    </row>
    <row r="62" ht="17.25">
      <c r="B62" s="4" t="s">
        <v>1165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zoomScale="70" zoomScaleNormal="70" zoomScalePageLayoutView="0" workbookViewId="0" topLeftCell="A1">
      <selection activeCell="I14" activeCellId="1" sqref="F14 I14"/>
    </sheetView>
  </sheetViews>
  <sheetFormatPr defaultColWidth="7.69921875" defaultRowHeight="15"/>
  <cols>
    <col min="1" max="1" width="5.796875" style="127" customWidth="1"/>
    <col min="2" max="4" width="9.796875" style="127" customWidth="1"/>
    <col min="5" max="5" width="20.796875" style="293" customWidth="1"/>
    <col min="6" max="6" width="17.59765625" style="293" customWidth="1"/>
    <col min="7" max="7" width="11.796875" style="293" customWidth="1"/>
    <col min="8" max="8" width="7.296875" style="349" customWidth="1"/>
    <col min="9" max="9" width="17.59765625" style="293" customWidth="1"/>
    <col min="10" max="10" width="11.796875" style="293" customWidth="1"/>
    <col min="11" max="11" width="7.296875" style="349" customWidth="1"/>
    <col min="12" max="12" width="13.69921875" style="293" customWidth="1"/>
    <col min="13" max="13" width="17.296875" style="127" customWidth="1"/>
    <col min="14" max="14" width="54.796875" style="23" customWidth="1"/>
    <col min="15" max="15" width="17.59765625" style="127" customWidth="1"/>
    <col min="16" max="16384" width="7.69921875" style="127" customWidth="1"/>
  </cols>
  <sheetData>
    <row r="1" spans="2:15" ht="21" customHeight="1">
      <c r="B1" s="17" t="s">
        <v>45</v>
      </c>
      <c r="C1" s="18"/>
      <c r="D1" s="18"/>
      <c r="E1" s="16"/>
      <c r="F1" s="18"/>
      <c r="G1" s="18"/>
      <c r="H1" s="573"/>
      <c r="I1" s="18"/>
      <c r="J1" s="18"/>
      <c r="K1" s="573"/>
      <c r="L1" s="18"/>
      <c r="M1" s="294"/>
      <c r="N1" s="16"/>
      <c r="O1" s="295"/>
    </row>
    <row r="2" spans="2:15" ht="21" customHeight="1">
      <c r="B2" s="296" t="s">
        <v>46</v>
      </c>
      <c r="C2" s="294"/>
      <c r="D2" s="294"/>
      <c r="E2" s="18"/>
      <c r="F2" s="18"/>
      <c r="G2" s="18"/>
      <c r="H2" s="573"/>
      <c r="I2" s="18"/>
      <c r="J2" s="18"/>
      <c r="K2" s="574"/>
      <c r="L2" s="16"/>
      <c r="M2" s="294"/>
      <c r="N2" s="16"/>
      <c r="O2" s="295"/>
    </row>
    <row r="3" spans="2:15" ht="21" customHeight="1">
      <c r="B3" s="297" t="s">
        <v>47</v>
      </c>
      <c r="C3" s="298"/>
      <c r="D3" s="298"/>
      <c r="E3" s="16"/>
      <c r="F3" s="16"/>
      <c r="G3" s="16"/>
      <c r="H3" s="574"/>
      <c r="I3" s="16"/>
      <c r="J3" s="16"/>
      <c r="K3" s="574"/>
      <c r="L3" s="16"/>
      <c r="M3" s="299"/>
      <c r="N3" s="27"/>
      <c r="O3" s="300"/>
    </row>
    <row r="4" spans="2:15" ht="21" customHeight="1">
      <c r="B4" s="301" t="s">
        <v>48</v>
      </c>
      <c r="C4" s="302" t="s">
        <v>49</v>
      </c>
      <c r="D4" s="303" t="s">
        <v>50</v>
      </c>
      <c r="E4" s="304" t="s">
        <v>51</v>
      </c>
      <c r="F4" s="305"/>
      <c r="G4" s="306"/>
      <c r="H4" s="307" t="s">
        <v>52</v>
      </c>
      <c r="I4" s="305"/>
      <c r="J4" s="306"/>
      <c r="K4" s="307" t="s">
        <v>52</v>
      </c>
      <c r="L4" s="308" t="s">
        <v>53</v>
      </c>
      <c r="M4" s="304" t="s">
        <v>54</v>
      </c>
      <c r="N4" s="302"/>
      <c r="O4" s="309"/>
    </row>
    <row r="5" spans="2:19" ht="21" customHeight="1">
      <c r="B5" s="310" t="s">
        <v>55</v>
      </c>
      <c r="C5" s="311" t="s">
        <v>56</v>
      </c>
      <c r="D5" s="312" t="s">
        <v>57</v>
      </c>
      <c r="E5" s="313" t="s">
        <v>58</v>
      </c>
      <c r="F5" s="314" t="s">
        <v>612</v>
      </c>
      <c r="G5" s="314" t="s">
        <v>60</v>
      </c>
      <c r="H5" s="315" t="s">
        <v>61</v>
      </c>
      <c r="I5" s="314" t="s">
        <v>613</v>
      </c>
      <c r="J5" s="314" t="s">
        <v>60</v>
      </c>
      <c r="K5" s="315" t="s">
        <v>61</v>
      </c>
      <c r="L5" s="316" t="s">
        <v>61</v>
      </c>
      <c r="M5" s="313" t="s">
        <v>56</v>
      </c>
      <c r="N5" s="302"/>
      <c r="O5" s="317" t="s">
        <v>63</v>
      </c>
      <c r="P5" s="318"/>
      <c r="Q5" s="318"/>
      <c r="R5" s="318"/>
      <c r="S5" s="318"/>
    </row>
    <row r="6" spans="2:17" ht="19.5" customHeight="1">
      <c r="B6" s="319">
        <v>1</v>
      </c>
      <c r="C6" s="320" t="str">
        <f aca="true" t="shared" si="0" ref="C6:C46">M6</f>
        <v>AA1</v>
      </c>
      <c r="D6" s="320">
        <v>1</v>
      </c>
      <c r="E6" s="321" t="s">
        <v>614</v>
      </c>
      <c r="F6" s="321" t="s">
        <v>615</v>
      </c>
      <c r="G6" s="48" t="s">
        <v>616</v>
      </c>
      <c r="H6" s="48">
        <v>109.5</v>
      </c>
      <c r="I6" s="321" t="s">
        <v>617</v>
      </c>
      <c r="J6" s="48" t="s">
        <v>618</v>
      </c>
      <c r="K6" s="48">
        <v>109.5</v>
      </c>
      <c r="L6" s="322">
        <f aca="true" t="shared" si="1" ref="L6:L46">H6+K6</f>
        <v>219</v>
      </c>
      <c r="M6" s="323" t="s">
        <v>69</v>
      </c>
      <c r="N6" s="52"/>
      <c r="O6" s="53"/>
      <c r="Q6" s="293"/>
    </row>
    <row r="7" spans="2:15" ht="19.5" customHeight="1">
      <c r="B7" s="324">
        <v>2</v>
      </c>
      <c r="C7" s="325" t="str">
        <f t="shared" si="0"/>
        <v>AA2</v>
      </c>
      <c r="D7" s="325">
        <v>2</v>
      </c>
      <c r="E7" s="326" t="s">
        <v>619</v>
      </c>
      <c r="F7" s="327" t="s">
        <v>620</v>
      </c>
      <c r="G7" s="326" t="s">
        <v>621</v>
      </c>
      <c r="H7" s="326">
        <v>108</v>
      </c>
      <c r="I7" s="327" t="s">
        <v>622</v>
      </c>
      <c r="J7" s="326" t="s">
        <v>623</v>
      </c>
      <c r="K7" s="326">
        <v>108</v>
      </c>
      <c r="L7" s="60">
        <f t="shared" si="1"/>
        <v>216</v>
      </c>
      <c r="M7" s="328" t="s">
        <v>75</v>
      </c>
      <c r="N7" s="52"/>
      <c r="O7" s="53"/>
    </row>
    <row r="8" spans="2:17" ht="19.5" customHeight="1">
      <c r="B8" s="324">
        <v>3</v>
      </c>
      <c r="C8" s="325" t="str">
        <f t="shared" si="0"/>
        <v>AA3</v>
      </c>
      <c r="D8" s="325">
        <v>3</v>
      </c>
      <c r="E8" s="327" t="s">
        <v>624</v>
      </c>
      <c r="F8" s="327" t="s">
        <v>625</v>
      </c>
      <c r="G8" s="326" t="s">
        <v>626</v>
      </c>
      <c r="H8" s="326">
        <v>96</v>
      </c>
      <c r="I8" s="327" t="s">
        <v>627</v>
      </c>
      <c r="J8" s="326" t="s">
        <v>628</v>
      </c>
      <c r="K8" s="326">
        <v>96</v>
      </c>
      <c r="L8" s="60">
        <f t="shared" si="1"/>
        <v>192</v>
      </c>
      <c r="M8" s="328" t="s">
        <v>81</v>
      </c>
      <c r="N8" s="52"/>
      <c r="O8" s="53"/>
      <c r="Q8" s="293"/>
    </row>
    <row r="9" spans="2:15" ht="19.5" customHeight="1">
      <c r="B9" s="329">
        <v>4</v>
      </c>
      <c r="C9" s="325" t="str">
        <f t="shared" si="0"/>
        <v>AA4</v>
      </c>
      <c r="D9" s="325">
        <v>4</v>
      </c>
      <c r="E9" s="326" t="s">
        <v>629</v>
      </c>
      <c r="F9" s="327" t="s">
        <v>630</v>
      </c>
      <c r="G9" s="326" t="s">
        <v>631</v>
      </c>
      <c r="H9" s="326">
        <v>85.5</v>
      </c>
      <c r="I9" s="327" t="s">
        <v>632</v>
      </c>
      <c r="J9" s="326" t="s">
        <v>633</v>
      </c>
      <c r="K9" s="326">
        <v>90</v>
      </c>
      <c r="L9" s="60">
        <f t="shared" si="1"/>
        <v>175.5</v>
      </c>
      <c r="M9" s="328" t="s">
        <v>87</v>
      </c>
      <c r="N9" s="52"/>
      <c r="O9" s="53"/>
    </row>
    <row r="10" spans="2:15" ht="19.5" customHeight="1">
      <c r="B10" s="329">
        <v>5</v>
      </c>
      <c r="C10" s="325" t="str">
        <f t="shared" si="0"/>
        <v>AA5</v>
      </c>
      <c r="D10" s="325">
        <v>5</v>
      </c>
      <c r="E10" s="326" t="s">
        <v>634</v>
      </c>
      <c r="F10" s="327" t="s">
        <v>635</v>
      </c>
      <c r="G10" s="326" t="s">
        <v>636</v>
      </c>
      <c r="H10" s="326">
        <v>83.5</v>
      </c>
      <c r="I10" s="327" t="s">
        <v>637</v>
      </c>
      <c r="J10" s="326" t="s">
        <v>638</v>
      </c>
      <c r="K10" s="326">
        <v>88</v>
      </c>
      <c r="L10" s="60">
        <f t="shared" si="1"/>
        <v>171.5</v>
      </c>
      <c r="M10" s="328" t="s">
        <v>93</v>
      </c>
      <c r="N10" s="52"/>
      <c r="O10" s="53"/>
    </row>
    <row r="11" spans="2:17" ht="19.5" customHeight="1">
      <c r="B11" s="329">
        <v>6</v>
      </c>
      <c r="C11" s="325" t="str">
        <f t="shared" si="0"/>
        <v>AA6</v>
      </c>
      <c r="D11" s="325">
        <v>6</v>
      </c>
      <c r="E11" s="326" t="s">
        <v>639</v>
      </c>
      <c r="F11" s="327" t="s">
        <v>640</v>
      </c>
      <c r="G11" s="326" t="s">
        <v>641</v>
      </c>
      <c r="H11" s="326">
        <v>63.75</v>
      </c>
      <c r="I11" s="327" t="s">
        <v>642</v>
      </c>
      <c r="J11" s="326" t="s">
        <v>643</v>
      </c>
      <c r="K11" s="326">
        <v>63.75</v>
      </c>
      <c r="L11" s="60">
        <f t="shared" si="1"/>
        <v>127.5</v>
      </c>
      <c r="M11" s="328" t="s">
        <v>99</v>
      </c>
      <c r="N11" s="52"/>
      <c r="O11" s="53"/>
      <c r="Q11" s="293"/>
    </row>
    <row r="12" spans="2:15" ht="19.5" customHeight="1">
      <c r="B12" s="329">
        <v>7</v>
      </c>
      <c r="C12" s="325" t="str">
        <f t="shared" si="0"/>
        <v>AA8</v>
      </c>
      <c r="D12" s="325">
        <v>7</v>
      </c>
      <c r="E12" s="326" t="s">
        <v>644</v>
      </c>
      <c r="F12" s="327" t="s">
        <v>645</v>
      </c>
      <c r="G12" s="326" t="s">
        <v>646</v>
      </c>
      <c r="H12" s="326">
        <v>55.5</v>
      </c>
      <c r="I12" s="327" t="s">
        <v>647</v>
      </c>
      <c r="J12" s="326" t="s">
        <v>648</v>
      </c>
      <c r="K12" s="326">
        <v>55.5</v>
      </c>
      <c r="L12" s="60">
        <f t="shared" si="1"/>
        <v>111</v>
      </c>
      <c r="M12" s="79" t="s">
        <v>111</v>
      </c>
      <c r="N12" s="80" t="s">
        <v>105</v>
      </c>
      <c r="O12" s="53"/>
    </row>
    <row r="13" spans="2:17" ht="19.5" customHeight="1">
      <c r="B13" s="330">
        <v>8</v>
      </c>
      <c r="C13" s="331" t="str">
        <f t="shared" si="0"/>
        <v>AA7</v>
      </c>
      <c r="D13" s="331">
        <v>7</v>
      </c>
      <c r="E13" s="332" t="s">
        <v>649</v>
      </c>
      <c r="F13" s="332" t="s">
        <v>650</v>
      </c>
      <c r="G13" s="333" t="s">
        <v>651</v>
      </c>
      <c r="H13" s="333">
        <v>54</v>
      </c>
      <c r="I13" s="332" t="s">
        <v>652</v>
      </c>
      <c r="J13" s="333" t="s">
        <v>653</v>
      </c>
      <c r="K13" s="333">
        <v>57</v>
      </c>
      <c r="L13" s="334">
        <f t="shared" si="1"/>
        <v>111</v>
      </c>
      <c r="M13" s="335" t="s">
        <v>105</v>
      </c>
      <c r="N13" s="80" t="s">
        <v>111</v>
      </c>
      <c r="O13" s="53"/>
      <c r="Q13" s="293"/>
    </row>
    <row r="14" spans="2:15" ht="19.5" customHeight="1">
      <c r="B14" s="336">
        <v>9</v>
      </c>
      <c r="C14" s="69" t="str">
        <f t="shared" si="0"/>
        <v>A1</v>
      </c>
      <c r="D14" s="69">
        <v>9</v>
      </c>
      <c r="E14" s="337" t="s">
        <v>654</v>
      </c>
      <c r="F14" s="337" t="s">
        <v>655</v>
      </c>
      <c r="G14" s="69" t="s">
        <v>656</v>
      </c>
      <c r="H14" s="85">
        <v>64.75</v>
      </c>
      <c r="I14" s="337" t="s">
        <v>657</v>
      </c>
      <c r="J14" s="69" t="s">
        <v>658</v>
      </c>
      <c r="K14" s="69">
        <v>40</v>
      </c>
      <c r="L14" s="71">
        <f t="shared" si="1"/>
        <v>104.75</v>
      </c>
      <c r="M14" s="72" t="s">
        <v>117</v>
      </c>
      <c r="N14" s="52"/>
      <c r="O14" s="53"/>
    </row>
    <row r="15" spans="2:17" ht="19.5" customHeight="1">
      <c r="B15" s="338">
        <v>10</v>
      </c>
      <c r="C15" s="74" t="str">
        <f t="shared" si="0"/>
        <v>B1</v>
      </c>
      <c r="D15" s="74">
        <v>10</v>
      </c>
      <c r="E15" s="339" t="s">
        <v>659</v>
      </c>
      <c r="F15" s="339" t="s">
        <v>660</v>
      </c>
      <c r="G15" s="75" t="s">
        <v>661</v>
      </c>
      <c r="H15" s="77">
        <v>78.5</v>
      </c>
      <c r="I15" s="339" t="s">
        <v>662</v>
      </c>
      <c r="J15" s="82" t="s">
        <v>184</v>
      </c>
      <c r="K15" s="77">
        <v>0</v>
      </c>
      <c r="L15" s="78">
        <f t="shared" si="1"/>
        <v>78.5</v>
      </c>
      <c r="M15" s="59" t="s">
        <v>123</v>
      </c>
      <c r="N15" s="52"/>
      <c r="O15" s="53"/>
      <c r="Q15" s="293"/>
    </row>
    <row r="16" spans="2:15" ht="19.5" customHeight="1">
      <c r="B16" s="338">
        <v>11</v>
      </c>
      <c r="C16" s="53" t="str">
        <f t="shared" si="0"/>
        <v>C1</v>
      </c>
      <c r="D16" s="53">
        <v>11</v>
      </c>
      <c r="E16" s="81" t="s">
        <v>663</v>
      </c>
      <c r="F16" s="81" t="s">
        <v>664</v>
      </c>
      <c r="G16" s="75" t="s">
        <v>665</v>
      </c>
      <c r="H16" s="75">
        <v>30</v>
      </c>
      <c r="I16" s="81" t="s">
        <v>666</v>
      </c>
      <c r="J16" s="75" t="s">
        <v>667</v>
      </c>
      <c r="K16" s="75">
        <v>45</v>
      </c>
      <c r="L16" s="76">
        <f t="shared" si="1"/>
        <v>75</v>
      </c>
      <c r="M16" s="59" t="s">
        <v>129</v>
      </c>
      <c r="N16" s="52"/>
      <c r="O16" s="53"/>
    </row>
    <row r="17" spans="2:17" ht="19.5" customHeight="1">
      <c r="B17" s="338">
        <v>12</v>
      </c>
      <c r="C17" s="53" t="str">
        <f t="shared" si="0"/>
        <v>D1</v>
      </c>
      <c r="D17" s="53">
        <v>12</v>
      </c>
      <c r="E17" s="81" t="s">
        <v>668</v>
      </c>
      <c r="F17" s="81" t="s">
        <v>669</v>
      </c>
      <c r="G17" s="75" t="s">
        <v>670</v>
      </c>
      <c r="H17" s="75">
        <v>36</v>
      </c>
      <c r="I17" s="81" t="s">
        <v>671</v>
      </c>
      <c r="J17" s="75" t="s">
        <v>672</v>
      </c>
      <c r="K17" s="75">
        <v>36</v>
      </c>
      <c r="L17" s="76">
        <f t="shared" si="1"/>
        <v>72</v>
      </c>
      <c r="M17" s="59" t="s">
        <v>135</v>
      </c>
      <c r="N17" s="52"/>
      <c r="O17" s="53"/>
      <c r="Q17" s="293"/>
    </row>
    <row r="18" spans="2:17" ht="19.5" customHeight="1">
      <c r="B18" s="338">
        <v>13</v>
      </c>
      <c r="C18" s="53" t="str">
        <f t="shared" si="0"/>
        <v>E1</v>
      </c>
      <c r="D18" s="53">
        <v>13</v>
      </c>
      <c r="E18" s="81" t="s">
        <v>673</v>
      </c>
      <c r="F18" s="81" t="s">
        <v>674</v>
      </c>
      <c r="G18" s="75" t="s">
        <v>675</v>
      </c>
      <c r="H18" s="75">
        <v>31.5</v>
      </c>
      <c r="I18" s="81" t="s">
        <v>676</v>
      </c>
      <c r="J18" s="75" t="s">
        <v>677</v>
      </c>
      <c r="K18" s="75">
        <v>31.5</v>
      </c>
      <c r="L18" s="76">
        <f t="shared" si="1"/>
        <v>63</v>
      </c>
      <c r="M18" s="59" t="s">
        <v>141</v>
      </c>
      <c r="N18" s="52"/>
      <c r="O18" s="53"/>
      <c r="Q18" s="293"/>
    </row>
    <row r="19" spans="2:17" ht="19.5" customHeight="1">
      <c r="B19" s="338">
        <v>14</v>
      </c>
      <c r="C19" s="53" t="str">
        <f t="shared" si="0"/>
        <v>F1</v>
      </c>
      <c r="D19" s="53">
        <v>14</v>
      </c>
      <c r="E19" s="81" t="s">
        <v>678</v>
      </c>
      <c r="F19" s="81" t="s">
        <v>679</v>
      </c>
      <c r="G19" s="75" t="s">
        <v>680</v>
      </c>
      <c r="H19" s="75">
        <v>61.5</v>
      </c>
      <c r="I19" s="81" t="s">
        <v>681</v>
      </c>
      <c r="J19" s="75" t="s">
        <v>682</v>
      </c>
      <c r="K19" s="75">
        <v>0</v>
      </c>
      <c r="L19" s="76">
        <f t="shared" si="1"/>
        <v>61.5</v>
      </c>
      <c r="M19" s="59" t="s">
        <v>147</v>
      </c>
      <c r="N19" s="52"/>
      <c r="O19" s="53"/>
      <c r="Q19" s="293"/>
    </row>
    <row r="20" spans="2:15" ht="19.5" customHeight="1">
      <c r="B20" s="338">
        <v>15</v>
      </c>
      <c r="C20" s="53" t="str">
        <f t="shared" si="0"/>
        <v>G1</v>
      </c>
      <c r="D20" s="53">
        <v>15</v>
      </c>
      <c r="E20" s="77" t="s">
        <v>683</v>
      </c>
      <c r="F20" s="339" t="s">
        <v>684</v>
      </c>
      <c r="G20" s="75" t="s">
        <v>685</v>
      </c>
      <c r="H20" s="77">
        <v>0</v>
      </c>
      <c r="I20" s="339" t="s">
        <v>686</v>
      </c>
      <c r="J20" s="75" t="s">
        <v>687</v>
      </c>
      <c r="K20" s="77">
        <v>57</v>
      </c>
      <c r="L20" s="78">
        <f t="shared" si="1"/>
        <v>57</v>
      </c>
      <c r="M20" s="59" t="s">
        <v>153</v>
      </c>
      <c r="N20" s="52"/>
      <c r="O20" s="53"/>
    </row>
    <row r="21" spans="2:17" ht="19.5" customHeight="1">
      <c r="B21" s="338">
        <v>16</v>
      </c>
      <c r="C21" s="53" t="str">
        <f t="shared" si="0"/>
        <v>H1</v>
      </c>
      <c r="D21" s="53">
        <v>16</v>
      </c>
      <c r="E21" s="77" t="s">
        <v>688</v>
      </c>
      <c r="F21" s="339" t="s">
        <v>689</v>
      </c>
      <c r="G21" s="75" t="s">
        <v>690</v>
      </c>
      <c r="H21" s="77">
        <v>27</v>
      </c>
      <c r="I21" s="339" t="s">
        <v>691</v>
      </c>
      <c r="J21" s="75" t="s">
        <v>692</v>
      </c>
      <c r="K21" s="77">
        <v>27</v>
      </c>
      <c r="L21" s="78">
        <f t="shared" si="1"/>
        <v>54</v>
      </c>
      <c r="M21" s="328" t="s">
        <v>160</v>
      </c>
      <c r="N21" s="80"/>
      <c r="O21" s="53"/>
      <c r="Q21" s="293"/>
    </row>
    <row r="22" spans="2:15" ht="19.5" customHeight="1">
      <c r="B22" s="338">
        <v>17</v>
      </c>
      <c r="C22" s="53" t="str">
        <f t="shared" si="0"/>
        <v>H2</v>
      </c>
      <c r="D22" s="53">
        <v>17</v>
      </c>
      <c r="E22" s="77" t="s">
        <v>693</v>
      </c>
      <c r="F22" s="339" t="s">
        <v>694</v>
      </c>
      <c r="G22" s="77" t="s">
        <v>695</v>
      </c>
      <c r="H22" s="77">
        <v>23</v>
      </c>
      <c r="I22" s="339" t="s">
        <v>696</v>
      </c>
      <c r="J22" s="77" t="s">
        <v>697</v>
      </c>
      <c r="K22" s="77">
        <v>24</v>
      </c>
      <c r="L22" s="78">
        <f t="shared" si="1"/>
        <v>47</v>
      </c>
      <c r="M22" s="328" t="s">
        <v>166</v>
      </c>
      <c r="N22" s="80"/>
      <c r="O22" s="53"/>
    </row>
    <row r="23" spans="2:17" ht="19.5" customHeight="1">
      <c r="B23" s="338">
        <v>18</v>
      </c>
      <c r="C23" s="53" t="str">
        <f t="shared" si="0"/>
        <v>G2</v>
      </c>
      <c r="D23" s="53">
        <v>18</v>
      </c>
      <c r="E23" s="77" t="s">
        <v>698</v>
      </c>
      <c r="F23" s="339" t="s">
        <v>699</v>
      </c>
      <c r="G23" s="75" t="s">
        <v>700</v>
      </c>
      <c r="H23" s="77">
        <v>18</v>
      </c>
      <c r="I23" s="339" t="s">
        <v>701</v>
      </c>
      <c r="J23" s="75" t="s">
        <v>702</v>
      </c>
      <c r="K23" s="77">
        <v>18</v>
      </c>
      <c r="L23" s="78">
        <f t="shared" si="1"/>
        <v>36</v>
      </c>
      <c r="M23" s="328" t="s">
        <v>172</v>
      </c>
      <c r="N23" s="80"/>
      <c r="O23" s="53"/>
      <c r="Q23" s="293"/>
    </row>
    <row r="24" spans="2:17" ht="19.5" customHeight="1">
      <c r="B24" s="338">
        <v>19</v>
      </c>
      <c r="C24" s="74" t="str">
        <f t="shared" si="0"/>
        <v>F2</v>
      </c>
      <c r="D24" s="74">
        <v>19</v>
      </c>
      <c r="E24" s="77" t="s">
        <v>703</v>
      </c>
      <c r="F24" s="339" t="s">
        <v>704</v>
      </c>
      <c r="G24" s="77" t="s">
        <v>705</v>
      </c>
      <c r="H24" s="77">
        <v>0</v>
      </c>
      <c r="I24" s="339" t="s">
        <v>706</v>
      </c>
      <c r="J24" s="77" t="s">
        <v>707</v>
      </c>
      <c r="K24" s="77">
        <v>24</v>
      </c>
      <c r="L24" s="78">
        <f t="shared" si="1"/>
        <v>24</v>
      </c>
      <c r="M24" s="79" t="s">
        <v>179</v>
      </c>
      <c r="N24" s="80" t="s">
        <v>708</v>
      </c>
      <c r="O24" s="53"/>
      <c r="Q24" s="293"/>
    </row>
    <row r="25" spans="2:17" ht="19.5" customHeight="1">
      <c r="B25" s="338">
        <v>20</v>
      </c>
      <c r="C25" s="74" t="str">
        <f t="shared" si="0"/>
        <v>E2</v>
      </c>
      <c r="D25" s="74">
        <v>19</v>
      </c>
      <c r="E25" s="77" t="s">
        <v>709</v>
      </c>
      <c r="F25" s="339" t="s">
        <v>710</v>
      </c>
      <c r="G25" s="77" t="s">
        <v>711</v>
      </c>
      <c r="H25" s="77">
        <v>12</v>
      </c>
      <c r="I25" s="339" t="s">
        <v>712</v>
      </c>
      <c r="J25" s="77" t="s">
        <v>713</v>
      </c>
      <c r="K25" s="77">
        <v>12</v>
      </c>
      <c r="L25" s="78">
        <f t="shared" si="1"/>
        <v>24</v>
      </c>
      <c r="M25" s="79" t="s">
        <v>185</v>
      </c>
      <c r="N25" s="80" t="s">
        <v>708</v>
      </c>
      <c r="O25" s="53"/>
      <c r="Q25" s="293"/>
    </row>
    <row r="26" spans="2:15" ht="19.5" customHeight="1">
      <c r="B26" s="338">
        <v>21</v>
      </c>
      <c r="C26" s="53" t="str">
        <f t="shared" si="0"/>
        <v>D2</v>
      </c>
      <c r="D26" s="74">
        <v>19</v>
      </c>
      <c r="E26" s="77" t="s">
        <v>714</v>
      </c>
      <c r="F26" s="339" t="s">
        <v>715</v>
      </c>
      <c r="G26" s="77" t="s">
        <v>716</v>
      </c>
      <c r="H26" s="77">
        <v>0</v>
      </c>
      <c r="I26" s="339" t="s">
        <v>717</v>
      </c>
      <c r="J26" s="77" t="s">
        <v>718</v>
      </c>
      <c r="K26" s="77">
        <v>24</v>
      </c>
      <c r="L26" s="78">
        <f t="shared" si="1"/>
        <v>24</v>
      </c>
      <c r="M26" s="79" t="s">
        <v>191</v>
      </c>
      <c r="N26" s="80" t="s">
        <v>708</v>
      </c>
      <c r="O26" s="53"/>
    </row>
    <row r="27" spans="2:15" ht="19.5" customHeight="1">
      <c r="B27" s="338">
        <v>22</v>
      </c>
      <c r="C27" s="53" t="str">
        <f t="shared" si="0"/>
        <v>C2</v>
      </c>
      <c r="D27" s="74">
        <v>22</v>
      </c>
      <c r="E27" s="74">
        <v>1442</v>
      </c>
      <c r="F27" s="81" t="s">
        <v>719</v>
      </c>
      <c r="G27" s="75" t="s">
        <v>720</v>
      </c>
      <c r="H27" s="75">
        <v>18</v>
      </c>
      <c r="I27" s="81" t="s">
        <v>721</v>
      </c>
      <c r="J27" s="75" t="s">
        <v>722</v>
      </c>
      <c r="K27" s="75">
        <v>0</v>
      </c>
      <c r="L27" s="76">
        <f t="shared" si="1"/>
        <v>18</v>
      </c>
      <c r="M27" s="328" t="s">
        <v>197</v>
      </c>
      <c r="N27" s="80"/>
      <c r="O27" s="53"/>
    </row>
    <row r="28" spans="2:15" ht="19.5" customHeight="1">
      <c r="B28" s="338">
        <v>23</v>
      </c>
      <c r="C28" s="53" t="str">
        <f t="shared" si="0"/>
        <v>B2</v>
      </c>
      <c r="D28" s="74">
        <v>23</v>
      </c>
      <c r="E28" s="77" t="s">
        <v>723</v>
      </c>
      <c r="F28" s="339" t="s">
        <v>724</v>
      </c>
      <c r="G28" s="75" t="s">
        <v>725</v>
      </c>
      <c r="H28" s="77">
        <v>5</v>
      </c>
      <c r="I28" s="339" t="s">
        <v>726</v>
      </c>
      <c r="J28" s="82" t="s">
        <v>184</v>
      </c>
      <c r="K28" s="77">
        <v>0</v>
      </c>
      <c r="L28" s="78">
        <f t="shared" si="1"/>
        <v>5</v>
      </c>
      <c r="M28" s="59" t="s">
        <v>203</v>
      </c>
      <c r="N28" s="340"/>
      <c r="O28" s="53"/>
    </row>
    <row r="29" spans="2:15" ht="19.5" customHeight="1">
      <c r="B29" s="338">
        <v>24</v>
      </c>
      <c r="C29" s="53" t="str">
        <f t="shared" si="0"/>
        <v>D3</v>
      </c>
      <c r="D29" s="74">
        <v>24</v>
      </c>
      <c r="E29" s="81" t="s">
        <v>727</v>
      </c>
      <c r="F29" s="81" t="s">
        <v>728</v>
      </c>
      <c r="G29" s="82" t="s">
        <v>184</v>
      </c>
      <c r="H29" s="75">
        <v>0</v>
      </c>
      <c r="I29" s="81" t="s">
        <v>729</v>
      </c>
      <c r="J29" s="82" t="s">
        <v>184</v>
      </c>
      <c r="K29" s="75">
        <v>0</v>
      </c>
      <c r="L29" s="76">
        <f t="shared" si="1"/>
        <v>0</v>
      </c>
      <c r="M29" s="79" t="s">
        <v>232</v>
      </c>
      <c r="N29" s="80" t="s">
        <v>730</v>
      </c>
      <c r="O29" s="53"/>
    </row>
    <row r="30" spans="2:15" ht="19.5" customHeight="1">
      <c r="B30" s="338">
        <v>25</v>
      </c>
      <c r="C30" s="53" t="str">
        <f t="shared" si="0"/>
        <v>G4</v>
      </c>
      <c r="D30" s="74">
        <v>24</v>
      </c>
      <c r="E30" s="339" t="s">
        <v>731</v>
      </c>
      <c r="F30" s="339" t="s">
        <v>732</v>
      </c>
      <c r="G30" s="82" t="s">
        <v>184</v>
      </c>
      <c r="H30" s="77">
        <v>0</v>
      </c>
      <c r="I30" s="339" t="s">
        <v>733</v>
      </c>
      <c r="J30" s="82" t="s">
        <v>184</v>
      </c>
      <c r="K30" s="77">
        <v>0</v>
      </c>
      <c r="L30" s="78">
        <f t="shared" si="1"/>
        <v>0</v>
      </c>
      <c r="M30" s="91" t="s">
        <v>734</v>
      </c>
      <c r="N30" s="80" t="s">
        <v>730</v>
      </c>
      <c r="O30" s="53"/>
    </row>
    <row r="31" spans="2:17" ht="19.5" customHeight="1">
      <c r="B31" s="338">
        <v>26</v>
      </c>
      <c r="C31" s="53" t="str">
        <f t="shared" si="0"/>
        <v>D4</v>
      </c>
      <c r="D31" s="74">
        <v>24</v>
      </c>
      <c r="E31" s="341" t="s">
        <v>735</v>
      </c>
      <c r="F31" s="341" t="s">
        <v>736</v>
      </c>
      <c r="G31" s="75" t="s">
        <v>737</v>
      </c>
      <c r="H31" s="85">
        <v>0</v>
      </c>
      <c r="I31" s="341" t="s">
        <v>738</v>
      </c>
      <c r="J31" s="82" t="s">
        <v>184</v>
      </c>
      <c r="K31" s="75">
        <v>0</v>
      </c>
      <c r="L31" s="76">
        <f t="shared" si="1"/>
        <v>0</v>
      </c>
      <c r="M31" s="79" t="s">
        <v>739</v>
      </c>
      <c r="N31" s="80" t="s">
        <v>730</v>
      </c>
      <c r="O31" s="53"/>
      <c r="Q31" s="293"/>
    </row>
    <row r="32" spans="2:17" ht="19.5" customHeight="1">
      <c r="B32" s="338">
        <v>27</v>
      </c>
      <c r="C32" s="53" t="str">
        <f t="shared" si="0"/>
        <v>B3</v>
      </c>
      <c r="D32" s="74">
        <v>24</v>
      </c>
      <c r="E32" s="342" t="s">
        <v>740</v>
      </c>
      <c r="F32" s="342" t="s">
        <v>741</v>
      </c>
      <c r="G32" s="82" t="s">
        <v>184</v>
      </c>
      <c r="H32" s="75">
        <v>0</v>
      </c>
      <c r="I32" s="342" t="s">
        <v>742</v>
      </c>
      <c r="J32" s="82" t="s">
        <v>184</v>
      </c>
      <c r="K32" s="85">
        <v>0</v>
      </c>
      <c r="L32" s="76">
        <f t="shared" si="1"/>
        <v>0</v>
      </c>
      <c r="M32" s="91" t="s">
        <v>220</v>
      </c>
      <c r="N32" s="80" t="s">
        <v>730</v>
      </c>
      <c r="O32" s="53"/>
      <c r="Q32" s="293"/>
    </row>
    <row r="33" spans="2:15" ht="19.5" customHeight="1">
      <c r="B33" s="338">
        <v>28</v>
      </c>
      <c r="C33" s="53" t="str">
        <f t="shared" si="0"/>
        <v>A2</v>
      </c>
      <c r="D33" s="74">
        <v>24</v>
      </c>
      <c r="E33" s="81" t="s">
        <v>743</v>
      </c>
      <c r="F33" s="81" t="s">
        <v>744</v>
      </c>
      <c r="G33" s="75" t="s">
        <v>745</v>
      </c>
      <c r="H33" s="575">
        <v>0</v>
      </c>
      <c r="I33" s="81" t="s">
        <v>746</v>
      </c>
      <c r="J33" s="82" t="s">
        <v>184</v>
      </c>
      <c r="K33" s="343">
        <v>0</v>
      </c>
      <c r="L33" s="76">
        <f t="shared" si="1"/>
        <v>0</v>
      </c>
      <c r="M33" s="79" t="s">
        <v>209</v>
      </c>
      <c r="N33" s="80" t="s">
        <v>730</v>
      </c>
      <c r="O33" s="53"/>
    </row>
    <row r="34" spans="2:15" ht="19.5" customHeight="1">
      <c r="B34" s="338">
        <v>29</v>
      </c>
      <c r="C34" s="53" t="str">
        <f t="shared" si="0"/>
        <v>B4</v>
      </c>
      <c r="D34" s="74">
        <v>24</v>
      </c>
      <c r="E34" s="341" t="s">
        <v>747</v>
      </c>
      <c r="F34" s="341" t="s">
        <v>748</v>
      </c>
      <c r="G34" s="86" t="s">
        <v>184</v>
      </c>
      <c r="H34" s="75">
        <v>0</v>
      </c>
      <c r="I34" s="341" t="s">
        <v>749</v>
      </c>
      <c r="J34" s="82" t="s">
        <v>184</v>
      </c>
      <c r="K34" s="75">
        <v>0</v>
      </c>
      <c r="L34" s="76">
        <f t="shared" si="1"/>
        <v>0</v>
      </c>
      <c r="M34" s="79" t="s">
        <v>750</v>
      </c>
      <c r="N34" s="80" t="s">
        <v>730</v>
      </c>
      <c r="O34" s="53"/>
    </row>
    <row r="35" spans="2:15" ht="19.5" customHeight="1">
      <c r="B35" s="338">
        <v>30</v>
      </c>
      <c r="C35" s="53" t="str">
        <f t="shared" si="0"/>
        <v>#41</v>
      </c>
      <c r="D35" s="74">
        <v>24</v>
      </c>
      <c r="E35" s="81" t="s">
        <v>751</v>
      </c>
      <c r="F35" s="81" t="s">
        <v>752</v>
      </c>
      <c r="G35" s="75" t="s">
        <v>753</v>
      </c>
      <c r="H35" s="75">
        <v>0</v>
      </c>
      <c r="I35" s="81" t="s">
        <v>754</v>
      </c>
      <c r="J35" s="82" t="s">
        <v>184</v>
      </c>
      <c r="K35" s="75">
        <v>0</v>
      </c>
      <c r="L35" s="76">
        <f t="shared" si="1"/>
        <v>0</v>
      </c>
      <c r="M35" s="79" t="s">
        <v>318</v>
      </c>
      <c r="N35" s="80" t="s">
        <v>730</v>
      </c>
      <c r="O35" s="53"/>
    </row>
    <row r="36" spans="2:15" ht="19.5" customHeight="1">
      <c r="B36" s="338">
        <v>31</v>
      </c>
      <c r="C36" s="53" t="str">
        <f t="shared" si="0"/>
        <v>G3</v>
      </c>
      <c r="D36" s="74">
        <v>24</v>
      </c>
      <c r="E36" s="81" t="s">
        <v>755</v>
      </c>
      <c r="F36" s="81" t="s">
        <v>756</v>
      </c>
      <c r="G36" s="82" t="s">
        <v>184</v>
      </c>
      <c r="H36" s="75">
        <v>0</v>
      </c>
      <c r="I36" s="81" t="s">
        <v>757</v>
      </c>
      <c r="J36" s="82" t="s">
        <v>184</v>
      </c>
      <c r="K36" s="75">
        <v>0</v>
      </c>
      <c r="L36" s="76">
        <f t="shared" si="1"/>
        <v>0</v>
      </c>
      <c r="M36" s="79" t="s">
        <v>244</v>
      </c>
      <c r="N36" s="80" t="s">
        <v>730</v>
      </c>
      <c r="O36" s="53"/>
    </row>
    <row r="37" spans="2:15" ht="19.5" customHeight="1">
      <c r="B37" s="338">
        <v>32</v>
      </c>
      <c r="C37" s="53" t="str">
        <f t="shared" si="0"/>
        <v>A3</v>
      </c>
      <c r="D37" s="74">
        <v>24</v>
      </c>
      <c r="E37" s="77" t="s">
        <v>758</v>
      </c>
      <c r="F37" s="339" t="s">
        <v>759</v>
      </c>
      <c r="G37" s="82" t="s">
        <v>184</v>
      </c>
      <c r="H37" s="77">
        <v>0</v>
      </c>
      <c r="I37" s="339" t="s">
        <v>760</v>
      </c>
      <c r="J37" s="75" t="s">
        <v>761</v>
      </c>
      <c r="K37" s="77">
        <v>0</v>
      </c>
      <c r="L37" s="78">
        <f t="shared" si="1"/>
        <v>0</v>
      </c>
      <c r="M37" s="344" t="s">
        <v>215</v>
      </c>
      <c r="N37" s="80" t="s">
        <v>730</v>
      </c>
      <c r="O37" s="53"/>
    </row>
    <row r="38" spans="2:15" ht="19.5" customHeight="1">
      <c r="B38" s="338">
        <v>33</v>
      </c>
      <c r="C38" s="53" t="str">
        <f t="shared" si="0"/>
        <v>C4</v>
      </c>
      <c r="D38" s="74">
        <v>24</v>
      </c>
      <c r="E38" s="77" t="s">
        <v>762</v>
      </c>
      <c r="F38" s="339" t="s">
        <v>763</v>
      </c>
      <c r="G38" s="82" t="s">
        <v>184</v>
      </c>
      <c r="H38" s="77">
        <v>0</v>
      </c>
      <c r="I38" s="339" t="s">
        <v>764</v>
      </c>
      <c r="J38" s="75" t="s">
        <v>765</v>
      </c>
      <c r="K38" s="77">
        <v>0</v>
      </c>
      <c r="L38" s="78">
        <f t="shared" si="1"/>
        <v>0</v>
      </c>
      <c r="M38" s="79" t="s">
        <v>766</v>
      </c>
      <c r="N38" s="80" t="s">
        <v>730</v>
      </c>
      <c r="O38" s="53"/>
    </row>
    <row r="39" spans="2:15" ht="19.5" customHeight="1">
      <c r="B39" s="338">
        <v>34</v>
      </c>
      <c r="C39" s="53" t="str">
        <f t="shared" si="0"/>
        <v>H4</v>
      </c>
      <c r="D39" s="74">
        <v>24</v>
      </c>
      <c r="E39" s="77" t="s">
        <v>767</v>
      </c>
      <c r="F39" s="339" t="s">
        <v>768</v>
      </c>
      <c r="G39" s="77" t="s">
        <v>769</v>
      </c>
      <c r="H39" s="77">
        <v>0</v>
      </c>
      <c r="I39" s="339" t="s">
        <v>770</v>
      </c>
      <c r="J39" s="82" t="s">
        <v>184</v>
      </c>
      <c r="K39" s="77">
        <v>0</v>
      </c>
      <c r="L39" s="78">
        <f t="shared" si="1"/>
        <v>0</v>
      </c>
      <c r="M39" s="79" t="s">
        <v>771</v>
      </c>
      <c r="N39" s="80" t="s">
        <v>730</v>
      </c>
      <c r="O39" s="53"/>
    </row>
    <row r="40" spans="2:15" ht="19.5" customHeight="1">
      <c r="B40" s="338">
        <v>35</v>
      </c>
      <c r="C40" s="53" t="str">
        <f t="shared" si="0"/>
        <v>C3</v>
      </c>
      <c r="D40" s="74">
        <v>24</v>
      </c>
      <c r="E40" s="77" t="s">
        <v>772</v>
      </c>
      <c r="F40" s="339" t="s">
        <v>773</v>
      </c>
      <c r="G40" s="82" t="s">
        <v>184</v>
      </c>
      <c r="H40" s="77">
        <v>0</v>
      </c>
      <c r="I40" s="339" t="s">
        <v>774</v>
      </c>
      <c r="J40" s="82" t="s">
        <v>184</v>
      </c>
      <c r="K40" s="77">
        <v>0</v>
      </c>
      <c r="L40" s="78">
        <f t="shared" si="1"/>
        <v>0</v>
      </c>
      <c r="M40" s="79" t="s">
        <v>226</v>
      </c>
      <c r="N40" s="80" t="s">
        <v>730</v>
      </c>
      <c r="O40" s="53"/>
    </row>
    <row r="41" spans="2:15" ht="19.5" customHeight="1">
      <c r="B41" s="338">
        <v>36</v>
      </c>
      <c r="C41" s="53" t="str">
        <f t="shared" si="0"/>
        <v>E4</v>
      </c>
      <c r="D41" s="74">
        <v>24</v>
      </c>
      <c r="E41" s="77" t="s">
        <v>775</v>
      </c>
      <c r="F41" s="339" t="s">
        <v>776</v>
      </c>
      <c r="G41" s="77" t="s">
        <v>777</v>
      </c>
      <c r="H41" s="77">
        <v>0</v>
      </c>
      <c r="I41" s="339" t="s">
        <v>778</v>
      </c>
      <c r="J41" s="77" t="s">
        <v>779</v>
      </c>
      <c r="K41" s="77">
        <v>0</v>
      </c>
      <c r="L41" s="78">
        <f t="shared" si="1"/>
        <v>0</v>
      </c>
      <c r="M41" s="79" t="s">
        <v>780</v>
      </c>
      <c r="N41" s="80" t="s">
        <v>730</v>
      </c>
      <c r="O41" s="53"/>
    </row>
    <row r="42" spans="2:15" ht="19.5" customHeight="1">
      <c r="B42" s="338">
        <v>37</v>
      </c>
      <c r="C42" s="53" t="str">
        <f t="shared" si="0"/>
        <v>E3</v>
      </c>
      <c r="D42" s="74">
        <v>24</v>
      </c>
      <c r="E42" s="77" t="s">
        <v>781</v>
      </c>
      <c r="F42" s="339" t="s">
        <v>782</v>
      </c>
      <c r="G42" s="77" t="s">
        <v>783</v>
      </c>
      <c r="H42" s="77">
        <v>0</v>
      </c>
      <c r="I42" s="339" t="s">
        <v>784</v>
      </c>
      <c r="J42" s="82" t="s">
        <v>184</v>
      </c>
      <c r="K42" s="77">
        <v>0</v>
      </c>
      <c r="L42" s="78">
        <f t="shared" si="1"/>
        <v>0</v>
      </c>
      <c r="M42" s="79" t="s">
        <v>238</v>
      </c>
      <c r="N42" s="80" t="s">
        <v>730</v>
      </c>
      <c r="O42" s="53"/>
    </row>
    <row r="43" spans="2:15" ht="20.25">
      <c r="B43" s="338">
        <v>38</v>
      </c>
      <c r="C43" s="53" t="str">
        <f t="shared" si="0"/>
        <v>F3</v>
      </c>
      <c r="D43" s="74">
        <v>24</v>
      </c>
      <c r="E43" s="77" t="s">
        <v>785</v>
      </c>
      <c r="F43" s="339" t="s">
        <v>786</v>
      </c>
      <c r="G43" s="77" t="s">
        <v>787</v>
      </c>
      <c r="H43" s="77">
        <v>0</v>
      </c>
      <c r="I43" s="339" t="s">
        <v>788</v>
      </c>
      <c r="J43" s="82" t="s">
        <v>184</v>
      </c>
      <c r="K43" s="77">
        <v>0</v>
      </c>
      <c r="L43" s="78">
        <f t="shared" si="1"/>
        <v>0</v>
      </c>
      <c r="M43" s="79" t="s">
        <v>251</v>
      </c>
      <c r="N43" s="80" t="s">
        <v>730</v>
      </c>
      <c r="O43" s="53"/>
    </row>
    <row r="44" spans="2:15" ht="20.25">
      <c r="B44" s="338">
        <v>39</v>
      </c>
      <c r="C44" s="53" t="str">
        <f t="shared" si="0"/>
        <v>F4</v>
      </c>
      <c r="D44" s="74">
        <v>24</v>
      </c>
      <c r="E44" s="77" t="s">
        <v>789</v>
      </c>
      <c r="F44" s="339" t="s">
        <v>790</v>
      </c>
      <c r="G44" s="77" t="s">
        <v>791</v>
      </c>
      <c r="H44" s="77">
        <v>0</v>
      </c>
      <c r="I44" s="339" t="s">
        <v>792</v>
      </c>
      <c r="J44" s="82" t="s">
        <v>184</v>
      </c>
      <c r="K44" s="77">
        <v>0</v>
      </c>
      <c r="L44" s="78">
        <f t="shared" si="1"/>
        <v>0</v>
      </c>
      <c r="M44" s="79" t="s">
        <v>793</v>
      </c>
      <c r="N44" s="80" t="s">
        <v>730</v>
      </c>
      <c r="O44" s="53"/>
    </row>
    <row r="45" spans="2:15" ht="20.25">
      <c r="B45" s="338">
        <v>40</v>
      </c>
      <c r="C45" s="53" t="str">
        <f t="shared" si="0"/>
        <v>H3</v>
      </c>
      <c r="D45" s="74">
        <v>24</v>
      </c>
      <c r="E45" s="77" t="s">
        <v>794</v>
      </c>
      <c r="F45" s="339" t="s">
        <v>795</v>
      </c>
      <c r="G45" s="77" t="s">
        <v>796</v>
      </c>
      <c r="H45" s="77">
        <v>0</v>
      </c>
      <c r="I45" s="339" t="s">
        <v>797</v>
      </c>
      <c r="J45" s="82" t="s">
        <v>184</v>
      </c>
      <c r="K45" s="77">
        <v>0</v>
      </c>
      <c r="L45" s="78">
        <f t="shared" si="1"/>
        <v>0</v>
      </c>
      <c r="M45" s="79" t="s">
        <v>270</v>
      </c>
      <c r="N45" s="80" t="s">
        <v>730</v>
      </c>
      <c r="O45" s="53"/>
    </row>
    <row r="46" spans="2:15" ht="20.25">
      <c r="B46" s="345">
        <v>41</v>
      </c>
      <c r="C46" s="53" t="str">
        <f t="shared" si="0"/>
        <v>#40</v>
      </c>
      <c r="D46" s="74">
        <v>24</v>
      </c>
      <c r="E46" s="77" t="s">
        <v>798</v>
      </c>
      <c r="F46" s="339" t="s">
        <v>799</v>
      </c>
      <c r="G46" s="77" t="s">
        <v>800</v>
      </c>
      <c r="H46" s="77">
        <v>0</v>
      </c>
      <c r="I46" s="339" t="s">
        <v>801</v>
      </c>
      <c r="J46" s="77" t="s">
        <v>802</v>
      </c>
      <c r="K46" s="77">
        <v>0</v>
      </c>
      <c r="L46" s="78">
        <f t="shared" si="1"/>
        <v>0</v>
      </c>
      <c r="M46" s="94" t="s">
        <v>331</v>
      </c>
      <c r="N46" s="80" t="s">
        <v>730</v>
      </c>
      <c r="O46" s="53"/>
    </row>
    <row r="48" spans="6:12" ht="18">
      <c r="F48" s="346" t="s">
        <v>491</v>
      </c>
      <c r="I48" s="346" t="s">
        <v>499</v>
      </c>
      <c r="L48" s="346" t="s">
        <v>803</v>
      </c>
    </row>
    <row r="49" spans="5:13" ht="18">
      <c r="E49" s="347" t="s">
        <v>536</v>
      </c>
      <c r="F49" s="348" t="s">
        <v>798</v>
      </c>
      <c r="H49" s="349" t="s">
        <v>804</v>
      </c>
      <c r="I49" s="350" t="s">
        <v>751</v>
      </c>
      <c r="L49" s="350" t="s">
        <v>751</v>
      </c>
      <c r="M49" s="351" t="s">
        <v>805</v>
      </c>
    </row>
    <row r="50" ht="18">
      <c r="F50" s="293" t="s">
        <v>806</v>
      </c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tabSelected="1" zoomScale="60" zoomScaleNormal="60" zoomScalePageLayoutView="0" workbookViewId="0" topLeftCell="A1">
      <selection activeCell="E36" sqref="E36"/>
    </sheetView>
  </sheetViews>
  <sheetFormatPr defaultColWidth="7.69921875" defaultRowHeight="15"/>
  <cols>
    <col min="1" max="9" width="15.796875" style="96" customWidth="1"/>
    <col min="10" max="11" width="10.69921875" style="96" customWidth="1"/>
    <col min="12" max="16384" width="7.69921875" style="96" customWidth="1"/>
  </cols>
  <sheetData>
    <row r="1" spans="2:6" ht="17.25">
      <c r="B1" s="97" t="s">
        <v>811</v>
      </c>
      <c r="C1" s="98"/>
      <c r="D1" s="98"/>
      <c r="F1" s="99"/>
    </row>
    <row r="2" spans="2:6" ht="17.25">
      <c r="B2" s="97"/>
      <c r="C2" s="98"/>
      <c r="D2" s="98"/>
      <c r="F2" s="99"/>
    </row>
    <row r="3" spans="2:6" ht="17.25">
      <c r="B3" s="97" t="s">
        <v>367</v>
      </c>
      <c r="C3" s="98"/>
      <c r="D3" s="98"/>
      <c r="F3" s="99"/>
    </row>
    <row r="4" spans="2:6" ht="17.25">
      <c r="B4" s="97" t="s">
        <v>812</v>
      </c>
      <c r="C4" s="98"/>
      <c r="D4" s="98"/>
      <c r="F4" s="99"/>
    </row>
    <row r="5" spans="2:6" ht="17.25">
      <c r="B5" s="97" t="s">
        <v>813</v>
      </c>
      <c r="C5" s="98"/>
      <c r="D5" s="98"/>
      <c r="F5" s="99"/>
    </row>
    <row r="6" spans="2:6" ht="17.25">
      <c r="B6" s="100" t="s">
        <v>370</v>
      </c>
      <c r="C6" s="100" t="s">
        <v>69</v>
      </c>
      <c r="D6" s="101"/>
      <c r="F6" s="99"/>
    </row>
    <row r="7" spans="2:6" ht="17.25">
      <c r="B7" s="100" t="s">
        <v>371</v>
      </c>
      <c r="C7" s="100" t="s">
        <v>75</v>
      </c>
      <c r="D7" s="101"/>
      <c r="F7" s="99"/>
    </row>
    <row r="8" spans="2:6" ht="17.25">
      <c r="B8" s="100" t="s">
        <v>372</v>
      </c>
      <c r="C8" s="100" t="s">
        <v>81</v>
      </c>
      <c r="D8" s="101"/>
      <c r="F8" s="99"/>
    </row>
    <row r="9" spans="2:6" ht="17.25">
      <c r="B9" s="100" t="s">
        <v>373</v>
      </c>
      <c r="C9" s="100" t="s">
        <v>87</v>
      </c>
      <c r="D9" s="101"/>
      <c r="F9" s="99"/>
    </row>
    <row r="10" spans="2:6" ht="17.25">
      <c r="B10" s="100" t="s">
        <v>374</v>
      </c>
      <c r="C10" s="100" t="s">
        <v>93</v>
      </c>
      <c r="D10" s="101"/>
      <c r="F10" s="99"/>
    </row>
    <row r="11" spans="2:6" ht="17.25">
      <c r="B11" s="100" t="s">
        <v>375</v>
      </c>
      <c r="C11" s="100" t="s">
        <v>99</v>
      </c>
      <c r="D11" s="101"/>
      <c r="F11" s="99"/>
    </row>
    <row r="12" spans="2:6" ht="17.25">
      <c r="B12" s="100" t="s">
        <v>376</v>
      </c>
      <c r="C12" s="100" t="s">
        <v>105</v>
      </c>
      <c r="D12" s="101"/>
      <c r="F12" s="99"/>
    </row>
    <row r="13" spans="2:6" ht="17.25">
      <c r="B13" s="100" t="s">
        <v>377</v>
      </c>
      <c r="C13" s="100" t="s">
        <v>111</v>
      </c>
      <c r="D13" s="101"/>
      <c r="F13" s="99"/>
    </row>
    <row r="14" spans="2:6" ht="17.25">
      <c r="B14" s="102" t="s">
        <v>378</v>
      </c>
      <c r="C14" s="99"/>
      <c r="D14" s="99"/>
      <c r="F14" s="99"/>
    </row>
    <row r="15" spans="2:6" ht="17.25">
      <c r="B15" s="102" t="s">
        <v>379</v>
      </c>
      <c r="C15" s="99"/>
      <c r="D15" s="99"/>
      <c r="F15" s="99"/>
    </row>
    <row r="16" spans="2:6" ht="17.25">
      <c r="B16" s="97"/>
      <c r="C16" s="99"/>
      <c r="D16" s="99"/>
      <c r="F16" s="99"/>
    </row>
    <row r="17" spans="2:6" ht="17.25">
      <c r="B17" s="97" t="s">
        <v>380</v>
      </c>
      <c r="C17" s="99"/>
      <c r="D17" s="99"/>
      <c r="F17" s="99"/>
    </row>
    <row r="18" spans="3:6" ht="17.25">
      <c r="C18" s="103"/>
      <c r="D18" s="107"/>
      <c r="E18" s="107"/>
      <c r="F18" s="107"/>
    </row>
    <row r="19" spans="3:7" ht="17.25">
      <c r="C19" s="104"/>
      <c r="D19" s="107"/>
      <c r="E19" s="107"/>
      <c r="F19" s="107"/>
      <c r="G19" s="107"/>
    </row>
    <row r="20" spans="2:7" ht="17.25">
      <c r="B20" s="105" t="s">
        <v>619</v>
      </c>
      <c r="C20" s="106" t="s">
        <v>117</v>
      </c>
      <c r="D20" s="107"/>
      <c r="E20" s="108"/>
      <c r="F20" s="107"/>
      <c r="G20" s="107"/>
    </row>
    <row r="21" spans="3:6" ht="18">
      <c r="C21" s="109" t="s">
        <v>814</v>
      </c>
      <c r="D21" s="104"/>
      <c r="E21" s="110"/>
      <c r="F21" s="107"/>
    </row>
    <row r="22" spans="3:7" ht="17.25">
      <c r="C22" s="111" t="s">
        <v>815</v>
      </c>
      <c r="D22" s="112"/>
      <c r="E22" s="113" t="str">
        <f>B20</f>
        <v>ST</v>
      </c>
      <c r="F22" s="107"/>
      <c r="G22" s="107"/>
    </row>
    <row r="23" spans="2:7" ht="18">
      <c r="B23" s="105" t="s">
        <v>629</v>
      </c>
      <c r="C23" s="114" t="s">
        <v>383</v>
      </c>
      <c r="D23" s="115"/>
      <c r="E23" s="116"/>
      <c r="F23" s="110"/>
      <c r="G23" s="110"/>
    </row>
    <row r="24" spans="3:7" ht="17.25">
      <c r="C24" s="108"/>
      <c r="D24" s="117" t="s">
        <v>816</v>
      </c>
      <c r="E24" s="109"/>
      <c r="F24" s="118"/>
      <c r="G24" s="219" t="str">
        <f>E22</f>
        <v>ST</v>
      </c>
    </row>
    <row r="25" spans="3:7" ht="18">
      <c r="C25" s="120"/>
      <c r="D25" s="121" t="s">
        <v>385</v>
      </c>
      <c r="E25" s="122" t="s">
        <v>817</v>
      </c>
      <c r="G25" s="110"/>
    </row>
    <row r="26" spans="2:7" ht="18">
      <c r="B26" s="105" t="s">
        <v>634</v>
      </c>
      <c r="C26" s="106" t="s">
        <v>209</v>
      </c>
      <c r="D26" s="115"/>
      <c r="E26" s="116"/>
      <c r="F26" s="107"/>
      <c r="G26" s="107"/>
    </row>
    <row r="27" spans="3:5" ht="17.25">
      <c r="C27" s="109" t="s">
        <v>818</v>
      </c>
      <c r="D27" s="118"/>
      <c r="E27" s="113" t="str">
        <f>B26</f>
        <v>L</v>
      </c>
    </row>
    <row r="28" spans="3:7" ht="18">
      <c r="C28" s="111" t="s">
        <v>819</v>
      </c>
      <c r="D28" s="115"/>
      <c r="E28" s="124"/>
      <c r="F28" s="110"/>
      <c r="G28" s="107"/>
    </row>
    <row r="29" spans="2:7" ht="18">
      <c r="B29" s="123" t="s">
        <v>614</v>
      </c>
      <c r="C29" s="114" t="s">
        <v>215</v>
      </c>
      <c r="E29" s="107"/>
      <c r="F29" s="108"/>
      <c r="G29" s="107"/>
    </row>
    <row r="30" spans="2:7" ht="18">
      <c r="B30" s="125"/>
      <c r="C30" s="126"/>
      <c r="E30" s="107"/>
      <c r="F30" s="108"/>
      <c r="G30" s="107"/>
    </row>
    <row r="31" spans="3:10" ht="17.25">
      <c r="C31" s="108"/>
      <c r="E31" s="120"/>
      <c r="F31" s="393"/>
      <c r="G31" s="107"/>
      <c r="H31" s="107"/>
      <c r="I31" s="107"/>
      <c r="J31" s="107"/>
    </row>
    <row r="32" spans="4:5" ht="17.25">
      <c r="D32" s="113" t="str">
        <f>B23</f>
        <v>Pillarsports </v>
      </c>
      <c r="E32" s="128"/>
    </row>
    <row r="33" ht="17.25">
      <c r="E33" s="128"/>
    </row>
    <row r="34" spans="4:7" ht="18">
      <c r="D34" s="129" t="s">
        <v>820</v>
      </c>
      <c r="E34" s="109"/>
      <c r="F34" s="130"/>
      <c r="G34" s="219" t="str">
        <f>D32</f>
        <v>Pillarsports </v>
      </c>
    </row>
    <row r="35" spans="4:6" ht="17.25">
      <c r="D35" s="131" t="s">
        <v>391</v>
      </c>
      <c r="E35" s="394" t="s">
        <v>1225</v>
      </c>
      <c r="F35" s="112"/>
    </row>
    <row r="36" spans="4:5" ht="17.25">
      <c r="D36" s="133"/>
      <c r="E36" s="134"/>
    </row>
    <row r="37" spans="4:5" ht="17.25">
      <c r="D37" s="113" t="str">
        <f>B29</f>
        <v>稻八</v>
      </c>
      <c r="E37" s="135"/>
    </row>
    <row r="38" spans="3:5" ht="17.25">
      <c r="C38" s="107"/>
      <c r="D38" s="126"/>
      <c r="E38" s="393"/>
    </row>
    <row r="40" spans="2:4" ht="17.25">
      <c r="B40" s="137" t="s">
        <v>393</v>
      </c>
      <c r="C40" s="138" t="s">
        <v>394</v>
      </c>
      <c r="D40" s="96" t="s">
        <v>619</v>
      </c>
    </row>
    <row r="41" spans="2:4" ht="17.25">
      <c r="B41" s="137" t="s">
        <v>395</v>
      </c>
      <c r="C41" s="138" t="s">
        <v>396</v>
      </c>
      <c r="D41" s="96" t="s">
        <v>634</v>
      </c>
    </row>
    <row r="42" spans="2:4" ht="17.25">
      <c r="B42" s="137" t="s">
        <v>397</v>
      </c>
      <c r="C42" s="138" t="s">
        <v>398</v>
      </c>
      <c r="D42" s="96" t="s">
        <v>629</v>
      </c>
    </row>
    <row r="43" spans="2:4" ht="17.25">
      <c r="B43" s="137" t="s">
        <v>399</v>
      </c>
      <c r="C43" s="138" t="s">
        <v>400</v>
      </c>
      <c r="D43" s="96" t="s">
        <v>614</v>
      </c>
    </row>
    <row r="44" spans="2:4" ht="17.25">
      <c r="B44" s="137" t="s">
        <v>402</v>
      </c>
      <c r="C44" s="138" t="s">
        <v>403</v>
      </c>
      <c r="D44" s="96" t="s">
        <v>624</v>
      </c>
    </row>
    <row r="45" spans="2:4" ht="17.25">
      <c r="B45" s="137" t="s">
        <v>405</v>
      </c>
      <c r="C45" s="138" t="s">
        <v>406</v>
      </c>
      <c r="D45" s="96" t="s">
        <v>821</v>
      </c>
    </row>
    <row r="46" spans="2:4" ht="17.25">
      <c r="B46" s="137" t="s">
        <v>407</v>
      </c>
      <c r="C46" s="138" t="s">
        <v>408</v>
      </c>
      <c r="D46" s="96" t="s">
        <v>644</v>
      </c>
    </row>
    <row r="47" spans="2:7" ht="17.25">
      <c r="B47" s="137" t="s">
        <v>409</v>
      </c>
      <c r="C47" s="138" t="s">
        <v>410</v>
      </c>
      <c r="D47" s="96" t="s">
        <v>639</v>
      </c>
      <c r="G47" s="107"/>
    </row>
  </sheetData>
  <sheetProtection selectLockedCells="1" selectUnlockedCells="1"/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="60" zoomScaleNormal="60" zoomScalePageLayoutView="0" workbookViewId="0" topLeftCell="A1">
      <selection activeCell="O32" sqref="O32"/>
    </sheetView>
  </sheetViews>
  <sheetFormatPr defaultColWidth="7.69921875" defaultRowHeight="15"/>
  <cols>
    <col min="1" max="2" width="5.796875" style="139" customWidth="1"/>
    <col min="3" max="4" width="9.796875" style="139" customWidth="1"/>
    <col min="5" max="7" width="5.796875" style="139" customWidth="1"/>
    <col min="8" max="8" width="25.796875" style="139" customWidth="1"/>
    <col min="9" max="9" width="2.796875" style="139" customWidth="1"/>
    <col min="10" max="10" width="25.796875" style="139" customWidth="1"/>
    <col min="11" max="14" width="9.796875" style="140" customWidth="1"/>
    <col min="15" max="15" width="15.796875" style="139" customWidth="1"/>
    <col min="16" max="16" width="5.796875" style="139" customWidth="1"/>
    <col min="17" max="17" width="8.796875" style="139" customWidth="1"/>
    <col min="18" max="18" width="12.3984375" style="139" customWidth="1"/>
    <col min="19" max="21" width="5.796875" style="139" customWidth="1"/>
    <col min="22" max="22" width="12.09765625" style="139" customWidth="1"/>
    <col min="23" max="23" width="11.796875" style="139" customWidth="1"/>
    <col min="24" max="24" width="4.8984375" style="139" customWidth="1"/>
    <col min="25" max="25" width="5.796875" style="139" customWidth="1"/>
    <col min="26" max="26" width="7.8984375" style="139" customWidth="1"/>
    <col min="27" max="35" width="7.69921875" style="139" hidden="1" customWidth="1"/>
    <col min="36" max="16384" width="7.69921875" style="139" customWidth="1"/>
  </cols>
  <sheetData>
    <row r="1" spans="2:13" ht="23.25">
      <c r="B1" s="355" t="s">
        <v>822</v>
      </c>
      <c r="C1" s="395"/>
      <c r="D1" s="396"/>
      <c r="E1" s="397"/>
      <c r="F1" s="146"/>
      <c r="G1" s="398"/>
      <c r="H1" s="397"/>
      <c r="I1" s="397"/>
      <c r="J1" s="146"/>
      <c r="K1" s="146"/>
      <c r="L1" s="146"/>
      <c r="M1" s="146"/>
    </row>
    <row r="2" spans="2:13" ht="25.5">
      <c r="B2" s="145" t="s">
        <v>823</v>
      </c>
      <c r="C2" s="395"/>
      <c r="D2" s="396"/>
      <c r="E2" s="397"/>
      <c r="F2" s="146"/>
      <c r="G2" s="398"/>
      <c r="H2" s="397"/>
      <c r="I2" s="397"/>
      <c r="J2" s="146"/>
      <c r="K2" s="146"/>
      <c r="L2" s="146"/>
      <c r="M2" s="146"/>
    </row>
    <row r="3" spans="2:14" ht="20.25">
      <c r="B3" s="146"/>
      <c r="C3" s="146"/>
      <c r="D3" s="146"/>
      <c r="E3" s="146"/>
      <c r="F3" s="359"/>
      <c r="H3" s="616" t="s">
        <v>413</v>
      </c>
      <c r="I3" s="616"/>
      <c r="J3" s="616"/>
      <c r="K3" s="149" t="s">
        <v>414</v>
      </c>
      <c r="L3" s="148" t="s">
        <v>415</v>
      </c>
      <c r="M3" s="148" t="s">
        <v>415</v>
      </c>
      <c r="N3" s="148" t="s">
        <v>414</v>
      </c>
    </row>
    <row r="4" spans="2:14" ht="20.25">
      <c r="B4" s="186"/>
      <c r="C4" s="152" t="s">
        <v>416</v>
      </c>
      <c r="D4" s="153" t="s">
        <v>417</v>
      </c>
      <c r="E4" s="154"/>
      <c r="F4" s="155" t="s">
        <v>418</v>
      </c>
      <c r="G4" s="148"/>
      <c r="H4" s="399" t="s">
        <v>419</v>
      </c>
      <c r="I4" s="400"/>
      <c r="J4" s="399" t="s">
        <v>420</v>
      </c>
      <c r="K4" s="148"/>
      <c r="L4" s="148"/>
      <c r="M4" s="148"/>
      <c r="N4" s="158"/>
    </row>
    <row r="5" spans="2:14" ht="16.5" customHeight="1">
      <c r="B5" s="186"/>
      <c r="C5" s="160" t="s">
        <v>421</v>
      </c>
      <c r="D5" s="161" t="s">
        <v>422</v>
      </c>
      <c r="E5" s="154"/>
      <c r="F5" s="162" t="s">
        <v>413</v>
      </c>
      <c r="G5" s="160"/>
      <c r="H5" s="401" t="s">
        <v>51</v>
      </c>
      <c r="I5" s="402"/>
      <c r="J5" s="401" t="s">
        <v>51</v>
      </c>
      <c r="K5" s="403"/>
      <c r="L5" s="403"/>
      <c r="M5" s="403"/>
      <c r="N5" s="158"/>
    </row>
    <row r="6" spans="2:35" ht="20.25">
      <c r="B6" s="166">
        <v>1</v>
      </c>
      <c r="C6" s="167" t="s">
        <v>423</v>
      </c>
      <c r="D6" s="168">
        <v>1</v>
      </c>
      <c r="E6" s="163" t="s">
        <v>69</v>
      </c>
      <c r="F6" s="169" t="s">
        <v>424</v>
      </c>
      <c r="G6" s="170" t="s">
        <v>111</v>
      </c>
      <c r="H6" s="158" t="str">
        <f>VLOOKUP(E6,WD!$C$6:$K$46,3,FALSE)</f>
        <v>稻八</v>
      </c>
      <c r="I6" s="171" t="s">
        <v>424</v>
      </c>
      <c r="J6" s="158" t="str">
        <f>VLOOKUP(G6,WD!$C$6:$K$46,3,FALSE)</f>
        <v>SURVIVOR</v>
      </c>
      <c r="K6" s="171">
        <v>2</v>
      </c>
      <c r="L6" s="171">
        <f>21+21</f>
        <v>42</v>
      </c>
      <c r="M6" s="171">
        <f>11+6</f>
        <v>17</v>
      </c>
      <c r="N6" s="172">
        <v>0</v>
      </c>
      <c r="O6" s="173" t="s">
        <v>824</v>
      </c>
      <c r="Q6" s="174" t="s">
        <v>426</v>
      </c>
      <c r="R6" s="174" t="s">
        <v>50</v>
      </c>
      <c r="S6" s="174" t="s">
        <v>427</v>
      </c>
      <c r="T6" s="174" t="s">
        <v>428</v>
      </c>
      <c r="U6" s="174" t="s">
        <v>429</v>
      </c>
      <c r="V6" s="174" t="s">
        <v>430</v>
      </c>
      <c r="W6" s="174" t="s">
        <v>825</v>
      </c>
      <c r="X6" s="174" t="s">
        <v>432</v>
      </c>
      <c r="Y6" s="174" t="s">
        <v>61</v>
      </c>
      <c r="AA6" s="174" t="s">
        <v>426</v>
      </c>
      <c r="AB6" s="174" t="s">
        <v>50</v>
      </c>
      <c r="AC6" s="174" t="s">
        <v>427</v>
      </c>
      <c r="AD6" s="174" t="s">
        <v>428</v>
      </c>
      <c r="AE6" s="174" t="s">
        <v>429</v>
      </c>
      <c r="AF6" s="174" t="s">
        <v>430</v>
      </c>
      <c r="AG6" s="174" t="s">
        <v>825</v>
      </c>
      <c r="AH6" s="174" t="s">
        <v>432</v>
      </c>
      <c r="AI6" s="174" t="s">
        <v>61</v>
      </c>
    </row>
    <row r="7" spans="2:35" ht="20.25">
      <c r="B7" s="175">
        <v>2</v>
      </c>
      <c r="C7" s="167" t="s">
        <v>423</v>
      </c>
      <c r="D7" s="168">
        <v>2</v>
      </c>
      <c r="E7" s="163" t="s">
        <v>75</v>
      </c>
      <c r="F7" s="169" t="s">
        <v>424</v>
      </c>
      <c r="G7" s="170" t="s">
        <v>105</v>
      </c>
      <c r="H7" s="158" t="str">
        <f>VLOOKUP(E7,WD!$C$6:$K$46,3,FALSE)</f>
        <v>ST</v>
      </c>
      <c r="I7" s="171" t="s">
        <v>424</v>
      </c>
      <c r="J7" s="158" t="str">
        <f>VLOOKUP(G7,WD!$C$6:$K$46,3,FALSE)</f>
        <v>呀mi與呀婷</v>
      </c>
      <c r="K7" s="171">
        <v>2</v>
      </c>
      <c r="L7" s="171">
        <f>21+21</f>
        <v>42</v>
      </c>
      <c r="M7" s="171">
        <f>9+8</f>
        <v>17</v>
      </c>
      <c r="N7" s="172">
        <v>0</v>
      </c>
      <c r="O7" s="173" t="s">
        <v>826</v>
      </c>
      <c r="Q7" s="176">
        <v>1</v>
      </c>
      <c r="R7" s="176" t="s">
        <v>619</v>
      </c>
      <c r="S7" s="176">
        <v>6</v>
      </c>
      <c r="T7" s="176">
        <v>1</v>
      </c>
      <c r="U7" s="176">
        <v>0</v>
      </c>
      <c r="V7" s="176">
        <v>290</v>
      </c>
      <c r="W7" s="176">
        <v>172</v>
      </c>
      <c r="X7" s="177">
        <v>1.686046511627907</v>
      </c>
      <c r="Y7" s="176">
        <v>19</v>
      </c>
      <c r="AA7" s="176">
        <v>1</v>
      </c>
      <c r="AB7" s="404" t="s">
        <v>624</v>
      </c>
      <c r="AC7" s="176">
        <v>3</v>
      </c>
      <c r="AD7" s="176">
        <v>1</v>
      </c>
      <c r="AE7" s="176">
        <v>3</v>
      </c>
      <c r="AF7" s="176">
        <f>L8+L12+L14+L21+M23+M29+L32</f>
        <v>209</v>
      </c>
      <c r="AG7" s="176">
        <f>M8+M12+M14+M21+L23+L29+M32</f>
        <v>223</v>
      </c>
      <c r="AH7" s="177">
        <f aca="true" t="shared" si="0" ref="AH7:AH14">AF7/AG7</f>
        <v>0.9372197309417041</v>
      </c>
      <c r="AI7" s="176">
        <f aca="true" t="shared" si="1" ref="AI7:AI14">AC7*3+AD7*1+AE7*0</f>
        <v>10</v>
      </c>
    </row>
    <row r="8" spans="2:35" ht="20.25">
      <c r="B8" s="166">
        <v>3</v>
      </c>
      <c r="C8" s="167" t="s">
        <v>423</v>
      </c>
      <c r="D8" s="168">
        <v>3</v>
      </c>
      <c r="E8" s="163" t="s">
        <v>81</v>
      </c>
      <c r="F8" s="169" t="s">
        <v>424</v>
      </c>
      <c r="G8" s="170" t="s">
        <v>99</v>
      </c>
      <c r="H8" s="158" t="str">
        <f>VLOOKUP(E8,WD!$C$6:$K$46,3,FALSE)</f>
        <v>羚靖</v>
      </c>
      <c r="I8" s="171" t="s">
        <v>424</v>
      </c>
      <c r="J8" s="158" t="str">
        <f>VLOOKUP(G8,WD!$C$6:$K$46,3,FALSE)</f>
        <v>Reunion</v>
      </c>
      <c r="K8" s="171">
        <v>2</v>
      </c>
      <c r="L8" s="171">
        <f>21+21</f>
        <v>42</v>
      </c>
      <c r="M8" s="171">
        <f>7+7</f>
        <v>14</v>
      </c>
      <c r="N8" s="172">
        <v>0</v>
      </c>
      <c r="O8" s="173" t="s">
        <v>827</v>
      </c>
      <c r="Q8" s="176">
        <v>2</v>
      </c>
      <c r="R8" s="176" t="s">
        <v>634</v>
      </c>
      <c r="S8" s="176">
        <v>5</v>
      </c>
      <c r="T8" s="176">
        <v>1</v>
      </c>
      <c r="U8" s="176">
        <v>1</v>
      </c>
      <c r="V8" s="176">
        <v>261</v>
      </c>
      <c r="W8" s="176">
        <v>167</v>
      </c>
      <c r="X8" s="177">
        <v>1.562874251497006</v>
      </c>
      <c r="Y8" s="176">
        <v>16</v>
      </c>
      <c r="AA8" s="176">
        <v>2</v>
      </c>
      <c r="AB8" s="176" t="s">
        <v>619</v>
      </c>
      <c r="AC8" s="176">
        <v>6</v>
      </c>
      <c r="AD8" s="176">
        <v>1</v>
      </c>
      <c r="AE8" s="176">
        <v>0</v>
      </c>
      <c r="AF8" s="176">
        <f>L7+L10+L17+L20+L23+L26+M33</f>
        <v>290</v>
      </c>
      <c r="AG8" s="176">
        <f>M7+M10+M17+M20+M23+M26+L33</f>
        <v>172</v>
      </c>
      <c r="AH8" s="177">
        <f t="shared" si="0"/>
        <v>1.686046511627907</v>
      </c>
      <c r="AI8" s="176">
        <f t="shared" si="1"/>
        <v>19</v>
      </c>
    </row>
    <row r="9" spans="2:35" ht="20.25">
      <c r="B9" s="175">
        <v>4</v>
      </c>
      <c r="C9" s="167" t="s">
        <v>423</v>
      </c>
      <c r="D9" s="168">
        <v>4</v>
      </c>
      <c r="E9" s="179" t="s">
        <v>87</v>
      </c>
      <c r="F9" s="180" t="s">
        <v>424</v>
      </c>
      <c r="G9" s="181" t="s">
        <v>93</v>
      </c>
      <c r="H9" s="158" t="str">
        <f>VLOOKUP(E9,WD!$C$6:$K$46,3,FALSE)</f>
        <v>Pillarsports </v>
      </c>
      <c r="I9" s="171" t="s">
        <v>424</v>
      </c>
      <c r="J9" s="158" t="str">
        <f>VLOOKUP(G9,WD!$C$6:$K$46,3,FALSE)</f>
        <v>L</v>
      </c>
      <c r="K9" s="171">
        <v>0</v>
      </c>
      <c r="L9" s="171">
        <f>19+12</f>
        <v>31</v>
      </c>
      <c r="M9" s="171">
        <f>21+21</f>
        <v>42</v>
      </c>
      <c r="N9" s="172">
        <v>2</v>
      </c>
      <c r="O9" s="173" t="s">
        <v>440</v>
      </c>
      <c r="Q9" s="176">
        <v>3</v>
      </c>
      <c r="R9" s="405" t="s">
        <v>614</v>
      </c>
      <c r="S9" s="176">
        <v>5</v>
      </c>
      <c r="T9" s="176">
        <v>1</v>
      </c>
      <c r="U9" s="176">
        <v>1</v>
      </c>
      <c r="V9" s="176">
        <v>252</v>
      </c>
      <c r="W9" s="176">
        <v>194</v>
      </c>
      <c r="X9" s="177">
        <v>1.2989690721649485</v>
      </c>
      <c r="Y9" s="176">
        <v>16</v>
      </c>
      <c r="AA9" s="176">
        <v>3</v>
      </c>
      <c r="AB9" s="404" t="s">
        <v>614</v>
      </c>
      <c r="AC9" s="176">
        <v>5</v>
      </c>
      <c r="AD9" s="176">
        <v>1</v>
      </c>
      <c r="AE9" s="176">
        <v>1</v>
      </c>
      <c r="AF9" s="176">
        <f>L6+L11+L16+L19+L22+L29+L33</f>
        <v>252</v>
      </c>
      <c r="AG9" s="176">
        <f>M6+M11+M16+M19+M22+M29+M33</f>
        <v>194</v>
      </c>
      <c r="AH9" s="177">
        <f t="shared" si="0"/>
        <v>1.2989690721649485</v>
      </c>
      <c r="AI9" s="176">
        <f t="shared" si="1"/>
        <v>16</v>
      </c>
    </row>
    <row r="10" spans="2:35" ht="20.25">
      <c r="B10" s="166">
        <v>5</v>
      </c>
      <c r="C10" s="167" t="s">
        <v>423</v>
      </c>
      <c r="D10" s="168">
        <v>5</v>
      </c>
      <c r="E10" s="163" t="s">
        <v>75</v>
      </c>
      <c r="F10" s="169" t="s">
        <v>424</v>
      </c>
      <c r="G10" s="170" t="s">
        <v>111</v>
      </c>
      <c r="H10" s="158" t="str">
        <f>VLOOKUP(E10,WD!$C$6:$K$46,3,FALSE)</f>
        <v>ST</v>
      </c>
      <c r="I10" s="171" t="s">
        <v>424</v>
      </c>
      <c r="J10" s="158" t="str">
        <f>VLOOKUP(G10,WD!$C$6:$K$46,3,FALSE)</f>
        <v>SURVIVOR</v>
      </c>
      <c r="K10" s="171">
        <v>2</v>
      </c>
      <c r="L10" s="171">
        <f>21+21</f>
        <v>42</v>
      </c>
      <c r="M10" s="171">
        <f>8+10</f>
        <v>18</v>
      </c>
      <c r="N10" s="172">
        <v>0</v>
      </c>
      <c r="O10" s="173" t="s">
        <v>828</v>
      </c>
      <c r="Q10" s="176">
        <v>4</v>
      </c>
      <c r="R10" s="176" t="s">
        <v>629</v>
      </c>
      <c r="S10" s="176">
        <v>4</v>
      </c>
      <c r="T10" s="176">
        <v>0</v>
      </c>
      <c r="U10" s="176">
        <v>3</v>
      </c>
      <c r="V10" s="176">
        <v>245</v>
      </c>
      <c r="W10" s="176">
        <v>194</v>
      </c>
      <c r="X10" s="177">
        <v>1.2628865979381443</v>
      </c>
      <c r="Y10" s="176">
        <v>12</v>
      </c>
      <c r="AA10" s="176">
        <v>4</v>
      </c>
      <c r="AB10" s="176" t="s">
        <v>634</v>
      </c>
      <c r="AC10" s="176">
        <v>5</v>
      </c>
      <c r="AD10" s="176">
        <v>1</v>
      </c>
      <c r="AE10" s="176">
        <v>1</v>
      </c>
      <c r="AF10" s="176">
        <f>M9+M12+M17+M19+L24+L27+L31</f>
        <v>261</v>
      </c>
      <c r="AG10" s="176">
        <f>L9+L12+L17+L19+M24+M27+M31</f>
        <v>167</v>
      </c>
      <c r="AH10" s="177">
        <f t="shared" si="0"/>
        <v>1.562874251497006</v>
      </c>
      <c r="AI10" s="176">
        <f t="shared" si="1"/>
        <v>16</v>
      </c>
    </row>
    <row r="11" spans="2:35" ht="20.25">
      <c r="B11" s="175">
        <v>6</v>
      </c>
      <c r="C11" s="167" t="s">
        <v>423</v>
      </c>
      <c r="D11" s="168">
        <v>6</v>
      </c>
      <c r="E11" s="163" t="s">
        <v>69</v>
      </c>
      <c r="F11" s="169" t="s">
        <v>424</v>
      </c>
      <c r="G11" s="170" t="s">
        <v>105</v>
      </c>
      <c r="H11" s="158" t="str">
        <f>VLOOKUP(E11,WD!$C$6:$K$46,3,FALSE)</f>
        <v>稻八</v>
      </c>
      <c r="I11" s="171" t="s">
        <v>424</v>
      </c>
      <c r="J11" s="158" t="str">
        <f>VLOOKUP(G11,WD!$C$6:$K$46,3,FALSE)</f>
        <v>呀mi與呀婷</v>
      </c>
      <c r="K11" s="171">
        <v>2</v>
      </c>
      <c r="L11" s="171">
        <f>21+21</f>
        <v>42</v>
      </c>
      <c r="M11" s="171">
        <f>8+13</f>
        <v>21</v>
      </c>
      <c r="N11" s="172">
        <v>0</v>
      </c>
      <c r="O11" s="173" t="s">
        <v>829</v>
      </c>
      <c r="Q11" s="176">
        <v>5</v>
      </c>
      <c r="R11" s="405" t="s">
        <v>624</v>
      </c>
      <c r="S11" s="176">
        <v>3</v>
      </c>
      <c r="T11" s="176">
        <v>1</v>
      </c>
      <c r="U11" s="176">
        <v>3</v>
      </c>
      <c r="V11" s="176">
        <v>209</v>
      </c>
      <c r="W11" s="176">
        <v>223</v>
      </c>
      <c r="X11" s="177">
        <v>0.9372197309417041</v>
      </c>
      <c r="Y11" s="176">
        <v>10</v>
      </c>
      <c r="AA11" s="176">
        <v>5</v>
      </c>
      <c r="AB11" s="176" t="s">
        <v>629</v>
      </c>
      <c r="AC11" s="176">
        <v>4</v>
      </c>
      <c r="AD11" s="176">
        <v>0</v>
      </c>
      <c r="AE11" s="176">
        <v>3</v>
      </c>
      <c r="AF11" s="176">
        <f>L9+L13+L15+L18+M22+M26+M32</f>
        <v>245</v>
      </c>
      <c r="AG11" s="176">
        <f>M9+M13+M15+M18+L22+L26+L32</f>
        <v>194</v>
      </c>
      <c r="AH11" s="177">
        <f t="shared" si="0"/>
        <v>1.2628865979381443</v>
      </c>
      <c r="AI11" s="176">
        <f t="shared" si="1"/>
        <v>12</v>
      </c>
    </row>
    <row r="12" spans="2:35" ht="20.25">
      <c r="B12" s="166">
        <v>7</v>
      </c>
      <c r="C12" s="167" t="s">
        <v>423</v>
      </c>
      <c r="D12" s="168">
        <v>7</v>
      </c>
      <c r="E12" s="163" t="s">
        <v>81</v>
      </c>
      <c r="F12" s="169" t="s">
        <v>424</v>
      </c>
      <c r="G12" s="182" t="s">
        <v>93</v>
      </c>
      <c r="H12" s="158" t="str">
        <f>VLOOKUP(E12,WD!$C$6:$K$46,3,FALSE)</f>
        <v>羚靖</v>
      </c>
      <c r="I12" s="171" t="s">
        <v>424</v>
      </c>
      <c r="J12" s="158" t="str">
        <f>VLOOKUP(G12,WD!$C$6:$K$46,3,FALSE)</f>
        <v>L</v>
      </c>
      <c r="K12" s="171">
        <v>1</v>
      </c>
      <c r="L12" s="171">
        <f>11+21</f>
        <v>32</v>
      </c>
      <c r="M12" s="171">
        <f>21+11</f>
        <v>32</v>
      </c>
      <c r="N12" s="172">
        <v>1</v>
      </c>
      <c r="O12" s="173" t="s">
        <v>830</v>
      </c>
      <c r="Q12" s="176">
        <v>6</v>
      </c>
      <c r="R12" s="405" t="s">
        <v>831</v>
      </c>
      <c r="S12" s="405">
        <v>1</v>
      </c>
      <c r="T12" s="405">
        <v>1</v>
      </c>
      <c r="U12" s="405">
        <v>5</v>
      </c>
      <c r="V12" s="405">
        <v>204</v>
      </c>
      <c r="W12" s="405">
        <v>275</v>
      </c>
      <c r="X12" s="177">
        <v>0.7418181818181818</v>
      </c>
      <c r="Y12" s="405">
        <v>4</v>
      </c>
      <c r="AA12" s="405">
        <v>6</v>
      </c>
      <c r="AB12" s="404" t="s">
        <v>649</v>
      </c>
      <c r="AC12" s="405">
        <v>1</v>
      </c>
      <c r="AD12" s="405">
        <v>1</v>
      </c>
      <c r="AE12" s="405">
        <v>5</v>
      </c>
      <c r="AF12" s="405">
        <f>M7+M11+M15+M21+M25+M27+L30</f>
        <v>204</v>
      </c>
      <c r="AG12" s="405">
        <f>L7+L11+L15+L21+L25+L27+M30</f>
        <v>275</v>
      </c>
      <c r="AH12" s="177">
        <f t="shared" si="0"/>
        <v>0.7418181818181818</v>
      </c>
      <c r="AI12" s="405">
        <f t="shared" si="1"/>
        <v>4</v>
      </c>
    </row>
    <row r="13" spans="2:35" ht="20.25">
      <c r="B13" s="175">
        <v>8</v>
      </c>
      <c r="C13" s="167" t="s">
        <v>423</v>
      </c>
      <c r="D13" s="168">
        <v>8</v>
      </c>
      <c r="E13" s="179" t="s">
        <v>87</v>
      </c>
      <c r="F13" s="180" t="s">
        <v>424</v>
      </c>
      <c r="G13" s="181" t="s">
        <v>99</v>
      </c>
      <c r="H13" s="158" t="str">
        <f>VLOOKUP(E13,WD!$C$6:$K$46,3,FALSE)</f>
        <v>Pillarsports </v>
      </c>
      <c r="I13" s="171" t="s">
        <v>424</v>
      </c>
      <c r="J13" s="158" t="str">
        <f>VLOOKUP(G13,WD!$C$6:$K$46,3,FALSE)</f>
        <v>Reunion</v>
      </c>
      <c r="K13" s="171">
        <v>2</v>
      </c>
      <c r="L13" s="171">
        <f aca="true" t="shared" si="2" ref="L13:L18">21+21</f>
        <v>42</v>
      </c>
      <c r="M13" s="171">
        <f>13+14</f>
        <v>27</v>
      </c>
      <c r="N13" s="172">
        <v>0</v>
      </c>
      <c r="O13" s="173" t="s">
        <v>832</v>
      </c>
      <c r="Q13" s="405">
        <v>7</v>
      </c>
      <c r="R13" s="176" t="s">
        <v>644</v>
      </c>
      <c r="S13" s="405">
        <v>0</v>
      </c>
      <c r="T13" s="405">
        <v>2</v>
      </c>
      <c r="U13" s="405">
        <v>5</v>
      </c>
      <c r="V13" s="405">
        <v>161</v>
      </c>
      <c r="W13" s="405">
        <v>291</v>
      </c>
      <c r="X13" s="177">
        <v>0.5532646048109966</v>
      </c>
      <c r="Y13" s="405">
        <v>2</v>
      </c>
      <c r="AA13" s="405">
        <v>7</v>
      </c>
      <c r="AB13" s="176" t="s">
        <v>644</v>
      </c>
      <c r="AC13" s="405">
        <v>0</v>
      </c>
      <c r="AD13" s="405">
        <v>2</v>
      </c>
      <c r="AE13" s="405">
        <v>5</v>
      </c>
      <c r="AF13" s="405">
        <f>M6+M10+M14+M18+M24+M28+M30</f>
        <v>161</v>
      </c>
      <c r="AG13" s="405">
        <f>L6+L10+L14+L18+L24+L28+L30</f>
        <v>291</v>
      </c>
      <c r="AH13" s="177">
        <f t="shared" si="0"/>
        <v>0.5532646048109966</v>
      </c>
      <c r="AI13" s="405">
        <f t="shared" si="1"/>
        <v>2</v>
      </c>
    </row>
    <row r="14" spans="2:35" ht="20.25">
      <c r="B14" s="166">
        <v>9</v>
      </c>
      <c r="C14" s="167" t="s">
        <v>423</v>
      </c>
      <c r="D14" s="168">
        <v>9</v>
      </c>
      <c r="E14" s="163" t="s">
        <v>81</v>
      </c>
      <c r="F14" s="169" t="s">
        <v>424</v>
      </c>
      <c r="G14" s="170" t="s">
        <v>111</v>
      </c>
      <c r="H14" s="158" t="str">
        <f>VLOOKUP(E14,WD!$C$6:$K$46,3,FALSE)</f>
        <v>羚靖</v>
      </c>
      <c r="I14" s="171" t="s">
        <v>424</v>
      </c>
      <c r="J14" s="158" t="str">
        <f>VLOOKUP(G14,WD!$C$6:$K$46,3,FALSE)</f>
        <v>SURVIVOR</v>
      </c>
      <c r="K14" s="171">
        <v>2</v>
      </c>
      <c r="L14" s="171">
        <f t="shared" si="2"/>
        <v>42</v>
      </c>
      <c r="M14" s="171">
        <f>14+6</f>
        <v>20</v>
      </c>
      <c r="N14" s="172">
        <v>0</v>
      </c>
      <c r="O14" s="173" t="s">
        <v>833</v>
      </c>
      <c r="Q14" s="405">
        <v>8</v>
      </c>
      <c r="R14" s="405" t="s">
        <v>639</v>
      </c>
      <c r="S14" s="405">
        <v>0</v>
      </c>
      <c r="T14" s="405">
        <v>1</v>
      </c>
      <c r="U14" s="405">
        <v>6</v>
      </c>
      <c r="V14" s="405">
        <v>188</v>
      </c>
      <c r="W14" s="405">
        <v>294</v>
      </c>
      <c r="X14" s="177">
        <v>0.6394557823129252</v>
      </c>
      <c r="Y14" s="405">
        <v>1</v>
      </c>
      <c r="AA14" s="405">
        <v>8</v>
      </c>
      <c r="AB14" s="176" t="s">
        <v>639</v>
      </c>
      <c r="AC14" s="405">
        <v>0</v>
      </c>
      <c r="AD14" s="405">
        <v>1</v>
      </c>
      <c r="AE14" s="405">
        <v>6</v>
      </c>
      <c r="AF14" s="405">
        <f>M8+M13+M16+M20+M31+L25+L28</f>
        <v>188</v>
      </c>
      <c r="AG14" s="405">
        <f>L8+L13+L16+L20+M25+M28+L31</f>
        <v>294</v>
      </c>
      <c r="AH14" s="177">
        <f t="shared" si="0"/>
        <v>0.6394557823129252</v>
      </c>
      <c r="AI14" s="405">
        <f t="shared" si="1"/>
        <v>1</v>
      </c>
    </row>
    <row r="15" spans="2:25" ht="20.25">
      <c r="B15" s="175">
        <v>10</v>
      </c>
      <c r="C15" s="167" t="s">
        <v>423</v>
      </c>
      <c r="D15" s="168">
        <v>10</v>
      </c>
      <c r="E15" s="163" t="s">
        <v>87</v>
      </c>
      <c r="F15" s="169" t="s">
        <v>424</v>
      </c>
      <c r="G15" s="170" t="s">
        <v>105</v>
      </c>
      <c r="H15" s="158" t="str">
        <f>VLOOKUP(E15,WD!$C$6:$K$46,3,FALSE)</f>
        <v>Pillarsports </v>
      </c>
      <c r="I15" s="171" t="s">
        <v>424</v>
      </c>
      <c r="J15" s="158" t="str">
        <f>VLOOKUP(G15,WD!$C$6:$K$46,3,FALSE)</f>
        <v>呀mi與呀婷</v>
      </c>
      <c r="K15" s="171">
        <v>2</v>
      </c>
      <c r="L15" s="171">
        <f t="shared" si="2"/>
        <v>42</v>
      </c>
      <c r="M15" s="171">
        <f>10+14</f>
        <v>24</v>
      </c>
      <c r="N15" s="172">
        <v>0</v>
      </c>
      <c r="O15" s="173" t="s">
        <v>834</v>
      </c>
      <c r="Q15" s="186"/>
      <c r="R15" s="186"/>
      <c r="S15" s="186"/>
      <c r="T15" s="186"/>
      <c r="U15" s="186"/>
      <c r="V15" s="186"/>
      <c r="W15" s="186"/>
      <c r="X15" s="186"/>
      <c r="Y15" s="186"/>
    </row>
    <row r="16" spans="2:25" ht="20.25">
      <c r="B16" s="166">
        <v>11</v>
      </c>
      <c r="C16" s="167" t="s">
        <v>423</v>
      </c>
      <c r="D16" s="168">
        <v>11</v>
      </c>
      <c r="E16" s="163" t="s">
        <v>69</v>
      </c>
      <c r="F16" s="169" t="s">
        <v>424</v>
      </c>
      <c r="G16" s="170" t="s">
        <v>99</v>
      </c>
      <c r="H16" s="158" t="str">
        <f>VLOOKUP(E16,WD!$C$6:$K$46,3,FALSE)</f>
        <v>稻八</v>
      </c>
      <c r="I16" s="171" t="s">
        <v>424</v>
      </c>
      <c r="J16" s="158" t="str">
        <f>VLOOKUP(G16,WD!$C$6:$K$46,3,FALSE)</f>
        <v>Reunion</v>
      </c>
      <c r="K16" s="171">
        <v>2</v>
      </c>
      <c r="L16" s="171">
        <f t="shared" si="2"/>
        <v>42</v>
      </c>
      <c r="M16" s="171">
        <f>19+12</f>
        <v>31</v>
      </c>
      <c r="N16" s="172">
        <v>0</v>
      </c>
      <c r="O16" s="173" t="s">
        <v>835</v>
      </c>
      <c r="Q16" s="186"/>
      <c r="Y16" s="186"/>
    </row>
    <row r="17" spans="2:17" ht="20.25">
      <c r="B17" s="175">
        <v>12</v>
      </c>
      <c r="C17" s="167" t="s">
        <v>423</v>
      </c>
      <c r="D17" s="168">
        <v>12</v>
      </c>
      <c r="E17" s="179" t="s">
        <v>75</v>
      </c>
      <c r="F17" s="180" t="s">
        <v>424</v>
      </c>
      <c r="G17" s="181" t="s">
        <v>93</v>
      </c>
      <c r="H17" s="158" t="str">
        <f>VLOOKUP(E17,WD!$C$6:$K$46,3,FALSE)</f>
        <v>ST</v>
      </c>
      <c r="I17" s="171" t="s">
        <v>424</v>
      </c>
      <c r="J17" s="158" t="str">
        <f>VLOOKUP(G17,WD!$C$6:$K$46,3,FALSE)</f>
        <v>L</v>
      </c>
      <c r="K17" s="171">
        <v>2</v>
      </c>
      <c r="L17" s="171">
        <f t="shared" si="2"/>
        <v>42</v>
      </c>
      <c r="M17" s="171">
        <f>10+9</f>
        <v>19</v>
      </c>
      <c r="N17" s="172">
        <v>0</v>
      </c>
      <c r="O17" s="173" t="s">
        <v>836</v>
      </c>
      <c r="Q17" s="186"/>
    </row>
    <row r="18" spans="2:25" ht="20.25">
      <c r="B18" s="166">
        <v>13</v>
      </c>
      <c r="C18" s="167" t="s">
        <v>423</v>
      </c>
      <c r="D18" s="168">
        <v>13</v>
      </c>
      <c r="E18" s="163" t="s">
        <v>87</v>
      </c>
      <c r="F18" s="169" t="s">
        <v>424</v>
      </c>
      <c r="G18" s="170" t="s">
        <v>111</v>
      </c>
      <c r="H18" s="187" t="str">
        <f>VLOOKUP(E18,WD!$C$6:$K$46,3,FALSE)</f>
        <v>Pillarsports </v>
      </c>
      <c r="I18" s="188" t="s">
        <v>424</v>
      </c>
      <c r="J18" s="187" t="str">
        <f>VLOOKUP(G18,WD!$C$6:$K$46,3,FALSE)</f>
        <v>SURVIVOR</v>
      </c>
      <c r="K18" s="171">
        <v>2</v>
      </c>
      <c r="L18" s="171">
        <f t="shared" si="2"/>
        <v>42</v>
      </c>
      <c r="M18" s="171">
        <f>7+10</f>
        <v>17</v>
      </c>
      <c r="N18" s="171">
        <v>0</v>
      </c>
      <c r="O18" s="173" t="s">
        <v>837</v>
      </c>
      <c r="Q18" s="186"/>
      <c r="R18" s="186"/>
      <c r="S18" s="186"/>
      <c r="T18" s="186"/>
      <c r="U18" s="186"/>
      <c r="V18" s="186"/>
      <c r="W18" s="186"/>
      <c r="X18" s="186"/>
      <c r="Y18" s="186"/>
    </row>
    <row r="19" spans="2:15" ht="20.25">
      <c r="B19" s="175">
        <v>14</v>
      </c>
      <c r="C19" s="167" t="s">
        <v>423</v>
      </c>
      <c r="D19" s="168">
        <v>14</v>
      </c>
      <c r="E19" s="163" t="s">
        <v>69</v>
      </c>
      <c r="F19" s="169" t="s">
        <v>424</v>
      </c>
      <c r="G19" s="170" t="s">
        <v>93</v>
      </c>
      <c r="H19" s="187" t="str">
        <f>VLOOKUP(E19,WD!$C$6:$K$46,3,FALSE)</f>
        <v>稻八</v>
      </c>
      <c r="I19" s="188" t="s">
        <v>424</v>
      </c>
      <c r="J19" s="187" t="str">
        <f>VLOOKUP(G19,WD!$C$6:$K$46,3,FALSE)</f>
        <v>L</v>
      </c>
      <c r="K19" s="171">
        <v>0</v>
      </c>
      <c r="L19" s="171">
        <v>0</v>
      </c>
      <c r="M19" s="171">
        <f>21+21</f>
        <v>42</v>
      </c>
      <c r="N19" s="171">
        <v>2</v>
      </c>
      <c r="O19" s="139" t="s">
        <v>838</v>
      </c>
    </row>
    <row r="20" spans="2:15" ht="20.25">
      <c r="B20" s="166">
        <v>15</v>
      </c>
      <c r="C20" s="167" t="s">
        <v>423</v>
      </c>
      <c r="D20" s="168">
        <v>15</v>
      </c>
      <c r="E20" s="163" t="s">
        <v>75</v>
      </c>
      <c r="F20" s="169" t="s">
        <v>424</v>
      </c>
      <c r="G20" s="170" t="s">
        <v>99</v>
      </c>
      <c r="H20" s="187" t="str">
        <f>VLOOKUP(E20,WD!$C$6:$K$46,3,FALSE)</f>
        <v>ST</v>
      </c>
      <c r="I20" s="188" t="s">
        <v>424</v>
      </c>
      <c r="J20" s="187" t="str">
        <f>VLOOKUP(G20,WD!$C$6:$K$46,3,FALSE)</f>
        <v>Reunion</v>
      </c>
      <c r="K20" s="171">
        <v>2</v>
      </c>
      <c r="L20" s="171">
        <f>21+21</f>
        <v>42</v>
      </c>
      <c r="M20" s="171">
        <f>9+15</f>
        <v>24</v>
      </c>
      <c r="N20" s="171">
        <v>0</v>
      </c>
      <c r="O20" s="173" t="s">
        <v>839</v>
      </c>
    </row>
    <row r="21" spans="2:15" ht="20.25">
      <c r="B21" s="175">
        <v>16</v>
      </c>
      <c r="C21" s="167" t="s">
        <v>423</v>
      </c>
      <c r="D21" s="168">
        <v>16</v>
      </c>
      <c r="E21" s="179" t="s">
        <v>81</v>
      </c>
      <c r="F21" s="180" t="s">
        <v>424</v>
      </c>
      <c r="G21" s="181" t="s">
        <v>105</v>
      </c>
      <c r="H21" s="187" t="str">
        <f>VLOOKUP(E21,WD!$C$6:$K$46,3,FALSE)</f>
        <v>羚靖</v>
      </c>
      <c r="I21" s="188" t="s">
        <v>424</v>
      </c>
      <c r="J21" s="187" t="str">
        <f>VLOOKUP(G21,WD!$C$6:$K$46,3,FALSE)</f>
        <v>呀mi與呀婷</v>
      </c>
      <c r="K21" s="171">
        <v>2</v>
      </c>
      <c r="L21" s="171">
        <f>21+21</f>
        <v>42</v>
      </c>
      <c r="M21" s="171">
        <f>16+15</f>
        <v>31</v>
      </c>
      <c r="N21" s="171">
        <v>0</v>
      </c>
      <c r="O21" s="173" t="s">
        <v>457</v>
      </c>
    </row>
    <row r="22" spans="2:15" ht="20.25">
      <c r="B22" s="166">
        <v>17</v>
      </c>
      <c r="C22" s="167" t="s">
        <v>423</v>
      </c>
      <c r="D22" s="168">
        <v>17</v>
      </c>
      <c r="E22" s="163" t="s">
        <v>69</v>
      </c>
      <c r="F22" s="169" t="s">
        <v>424</v>
      </c>
      <c r="G22" s="170" t="s">
        <v>87</v>
      </c>
      <c r="H22" s="158" t="str">
        <f>VLOOKUP(E22,WD!$C$6:$K$46,3,FALSE)</f>
        <v>稻八</v>
      </c>
      <c r="I22" s="171" t="s">
        <v>424</v>
      </c>
      <c r="J22" s="158" t="str">
        <f>VLOOKUP(G22,WD!$C$6:$K$46,3,FALSE)</f>
        <v>Pillarsports </v>
      </c>
      <c r="K22" s="171">
        <v>2</v>
      </c>
      <c r="L22" s="171">
        <f>21+21</f>
        <v>42</v>
      </c>
      <c r="M22" s="171">
        <f>16+7</f>
        <v>23</v>
      </c>
      <c r="N22" s="171">
        <v>0</v>
      </c>
      <c r="O22" s="173" t="s">
        <v>840</v>
      </c>
    </row>
    <row r="23" spans="2:15" ht="20.25">
      <c r="B23" s="175">
        <v>18</v>
      </c>
      <c r="C23" s="167" t="s">
        <v>423</v>
      </c>
      <c r="D23" s="168">
        <v>18</v>
      </c>
      <c r="E23" s="163" t="s">
        <v>75</v>
      </c>
      <c r="F23" s="169" t="s">
        <v>424</v>
      </c>
      <c r="G23" s="170" t="s">
        <v>81</v>
      </c>
      <c r="H23" s="158" t="str">
        <f>VLOOKUP(E23,WD!$C$6:$K$46,3,FALSE)</f>
        <v>ST</v>
      </c>
      <c r="I23" s="171" t="s">
        <v>424</v>
      </c>
      <c r="J23" s="158" t="str">
        <f>VLOOKUP(G23,WD!$C$6:$K$46,3,FALSE)</f>
        <v>羚靖</v>
      </c>
      <c r="K23" s="171">
        <v>2</v>
      </c>
      <c r="L23" s="171">
        <f>21+21</f>
        <v>42</v>
      </c>
      <c r="M23" s="171">
        <f>14+15</f>
        <v>29</v>
      </c>
      <c r="N23" s="171">
        <v>0</v>
      </c>
      <c r="O23" s="173" t="s">
        <v>841</v>
      </c>
    </row>
    <row r="24" spans="2:15" ht="20.25">
      <c r="B24" s="166">
        <v>19</v>
      </c>
      <c r="C24" s="167" t="s">
        <v>423</v>
      </c>
      <c r="D24" s="168">
        <v>19</v>
      </c>
      <c r="E24" s="163" t="s">
        <v>93</v>
      </c>
      <c r="F24" s="169" t="s">
        <v>424</v>
      </c>
      <c r="G24" s="170" t="s">
        <v>111</v>
      </c>
      <c r="H24" s="158" t="str">
        <f>VLOOKUP(E24,WD!$C$6:$K$46,3,FALSE)</f>
        <v>L</v>
      </c>
      <c r="I24" s="171" t="s">
        <v>424</v>
      </c>
      <c r="J24" s="158" t="str">
        <f>VLOOKUP(G24,WD!$C$6:$K$46,3,FALSE)</f>
        <v>SURVIVOR</v>
      </c>
      <c r="K24" s="171">
        <v>2</v>
      </c>
      <c r="L24" s="171">
        <f>21+21</f>
        <v>42</v>
      </c>
      <c r="M24" s="171">
        <f>7+12</f>
        <v>19</v>
      </c>
      <c r="N24" s="171">
        <v>0</v>
      </c>
      <c r="O24" s="173" t="s">
        <v>842</v>
      </c>
    </row>
    <row r="25" spans="2:15" ht="20.25">
      <c r="B25" s="175">
        <v>20</v>
      </c>
      <c r="C25" s="167" t="s">
        <v>423</v>
      </c>
      <c r="D25" s="168">
        <v>20</v>
      </c>
      <c r="E25" s="179" t="s">
        <v>99</v>
      </c>
      <c r="F25" s="180" t="s">
        <v>424</v>
      </c>
      <c r="G25" s="181" t="s">
        <v>105</v>
      </c>
      <c r="H25" s="158" t="str">
        <f>VLOOKUP(E25,WD!$C$6:$K$46,3,FALSE)</f>
        <v>Reunion</v>
      </c>
      <c r="I25" s="171" t="s">
        <v>424</v>
      </c>
      <c r="J25" s="158" t="str">
        <f>VLOOKUP(G25,WD!$C$6:$K$46,3,FALSE)</f>
        <v>呀mi與呀婷</v>
      </c>
      <c r="K25" s="171">
        <v>0</v>
      </c>
      <c r="L25" s="171">
        <f>16+20</f>
        <v>36</v>
      </c>
      <c r="M25" s="171">
        <f>21+22</f>
        <v>43</v>
      </c>
      <c r="N25" s="171">
        <v>2</v>
      </c>
      <c r="O25" s="173" t="s">
        <v>843</v>
      </c>
    </row>
    <row r="26" spans="2:15" ht="20.25">
      <c r="B26" s="166">
        <v>21</v>
      </c>
      <c r="C26" s="167" t="s">
        <v>423</v>
      </c>
      <c r="D26" s="168">
        <v>21</v>
      </c>
      <c r="E26" s="163" t="s">
        <v>75</v>
      </c>
      <c r="F26" s="169" t="s">
        <v>424</v>
      </c>
      <c r="G26" s="170" t="s">
        <v>87</v>
      </c>
      <c r="H26" s="158" t="str">
        <f>VLOOKUP(E26,WD!$C$6:$K$46,3,FALSE)</f>
        <v>ST</v>
      </c>
      <c r="I26" s="171" t="s">
        <v>424</v>
      </c>
      <c r="J26" s="158" t="str">
        <f>VLOOKUP(G26,WD!$C$6:$K$46,3,FALSE)</f>
        <v>Pillarsports </v>
      </c>
      <c r="K26" s="171">
        <v>2</v>
      </c>
      <c r="L26" s="171">
        <f>21+21</f>
        <v>42</v>
      </c>
      <c r="M26" s="171">
        <f>9+14</f>
        <v>23</v>
      </c>
      <c r="N26" s="171">
        <v>0</v>
      </c>
      <c r="O26" s="173" t="s">
        <v>844</v>
      </c>
    </row>
    <row r="27" spans="2:15" ht="20.25">
      <c r="B27" s="175">
        <v>22</v>
      </c>
      <c r="C27" s="167" t="s">
        <v>423</v>
      </c>
      <c r="D27" s="168">
        <v>22</v>
      </c>
      <c r="E27" s="163" t="s">
        <v>93</v>
      </c>
      <c r="F27" s="169" t="s">
        <v>424</v>
      </c>
      <c r="G27" s="170" t="s">
        <v>105</v>
      </c>
      <c r="H27" s="158" t="str">
        <f>VLOOKUP(E27,WD!$C$6:$K$46,3,FALSE)</f>
        <v>L</v>
      </c>
      <c r="I27" s="171" t="s">
        <v>424</v>
      </c>
      <c r="J27" s="158" t="str">
        <f>VLOOKUP(G27,WD!$C$6:$K$46,3,FALSE)</f>
        <v>呀mi與呀婷</v>
      </c>
      <c r="K27" s="171">
        <v>2</v>
      </c>
      <c r="L27" s="171">
        <f>21+21</f>
        <v>42</v>
      </c>
      <c r="M27" s="171">
        <f>13+15</f>
        <v>28</v>
      </c>
      <c r="N27" s="171">
        <v>0</v>
      </c>
      <c r="O27" s="173" t="s">
        <v>845</v>
      </c>
    </row>
    <row r="28" spans="2:15" ht="20.25">
      <c r="B28" s="166">
        <v>23</v>
      </c>
      <c r="C28" s="167" t="s">
        <v>423</v>
      </c>
      <c r="D28" s="168">
        <v>23</v>
      </c>
      <c r="E28" s="163" t="s">
        <v>99</v>
      </c>
      <c r="F28" s="169" t="s">
        <v>424</v>
      </c>
      <c r="G28" s="170" t="s">
        <v>111</v>
      </c>
      <c r="H28" s="158" t="str">
        <f>VLOOKUP(E28,WD!$C$6:$K$46,3,FALSE)</f>
        <v>Reunion</v>
      </c>
      <c r="I28" s="171" t="s">
        <v>424</v>
      </c>
      <c r="J28" s="158" t="str">
        <f>VLOOKUP(G28,WD!$C$6:$K$46,3,FALSE)</f>
        <v>SURVIVOR</v>
      </c>
      <c r="K28" s="171">
        <v>1</v>
      </c>
      <c r="L28" s="171">
        <f>20+21</f>
        <v>41</v>
      </c>
      <c r="M28" s="171">
        <f>22+19</f>
        <v>41</v>
      </c>
      <c r="N28" s="171">
        <v>1</v>
      </c>
      <c r="O28" s="173" t="s">
        <v>846</v>
      </c>
    </row>
    <row r="29" spans="2:15" ht="20.25">
      <c r="B29" s="175">
        <v>24</v>
      </c>
      <c r="C29" s="167" t="s">
        <v>423</v>
      </c>
      <c r="D29" s="168">
        <v>24</v>
      </c>
      <c r="E29" s="179" t="s">
        <v>69</v>
      </c>
      <c r="F29" s="180" t="s">
        <v>424</v>
      </c>
      <c r="G29" s="181" t="s">
        <v>81</v>
      </c>
      <c r="H29" s="158" t="str">
        <f>VLOOKUP(E29,WD!$C$6:$K$46,3,FALSE)</f>
        <v>稻八</v>
      </c>
      <c r="I29" s="171" t="s">
        <v>424</v>
      </c>
      <c r="J29" s="158" t="str">
        <f>VLOOKUP(G29,WD!$C$6:$K$46,3,FALSE)</f>
        <v>羚靖</v>
      </c>
      <c r="K29" s="171">
        <v>2</v>
      </c>
      <c r="L29" s="171">
        <f>21+21</f>
        <v>42</v>
      </c>
      <c r="M29" s="171">
        <f>13+9</f>
        <v>22</v>
      </c>
      <c r="N29" s="171">
        <v>0</v>
      </c>
      <c r="O29" s="173" t="s">
        <v>847</v>
      </c>
    </row>
    <row r="30" spans="2:15" ht="20.25">
      <c r="B30" s="166">
        <v>25</v>
      </c>
      <c r="C30" s="167" t="s">
        <v>423</v>
      </c>
      <c r="D30" s="168">
        <v>25</v>
      </c>
      <c r="E30" s="163" t="s">
        <v>105</v>
      </c>
      <c r="F30" s="169" t="s">
        <v>424</v>
      </c>
      <c r="G30" s="170" t="s">
        <v>111</v>
      </c>
      <c r="H30" s="158" t="str">
        <f>VLOOKUP(E30,WD!$C$6:$K$46,3,FALSE)</f>
        <v>呀mi與呀婷</v>
      </c>
      <c r="I30" s="171" t="s">
        <v>424</v>
      </c>
      <c r="J30" s="158" t="str">
        <f>VLOOKUP(G30,WD!$C$6:$K$46,3,FALSE)</f>
        <v>SURVIVOR</v>
      </c>
      <c r="K30" s="171">
        <v>1</v>
      </c>
      <c r="L30" s="171">
        <f>19+21</f>
        <v>40</v>
      </c>
      <c r="M30" s="171">
        <f>21+8</f>
        <v>29</v>
      </c>
      <c r="N30" s="171">
        <v>1</v>
      </c>
      <c r="O30" s="173" t="s">
        <v>848</v>
      </c>
    </row>
    <row r="31" spans="2:15" ht="20.25">
      <c r="B31" s="175">
        <v>26</v>
      </c>
      <c r="C31" s="167" t="s">
        <v>423</v>
      </c>
      <c r="D31" s="168">
        <v>26</v>
      </c>
      <c r="E31" s="163" t="s">
        <v>93</v>
      </c>
      <c r="F31" s="169" t="s">
        <v>424</v>
      </c>
      <c r="G31" s="170" t="s">
        <v>99</v>
      </c>
      <c r="H31" s="158" t="str">
        <f>VLOOKUP(E31,WD!$C$6:$K$46,3,FALSE)</f>
        <v>L</v>
      </c>
      <c r="I31" s="171" t="s">
        <v>424</v>
      </c>
      <c r="J31" s="158" t="str">
        <f>VLOOKUP(G31,WD!$C$6:$K$46,3,FALSE)</f>
        <v>Reunion</v>
      </c>
      <c r="K31" s="171">
        <v>2</v>
      </c>
      <c r="L31" s="171">
        <f>21+21</f>
        <v>42</v>
      </c>
      <c r="M31" s="171">
        <f>6+9</f>
        <v>15</v>
      </c>
      <c r="N31" s="171">
        <v>0</v>
      </c>
      <c r="O31" s="173" t="s">
        <v>849</v>
      </c>
    </row>
    <row r="32" spans="2:15" ht="20.25">
      <c r="B32" s="166">
        <v>27</v>
      </c>
      <c r="C32" s="167" t="s">
        <v>423</v>
      </c>
      <c r="D32" s="168">
        <v>27</v>
      </c>
      <c r="E32" s="163" t="s">
        <v>81</v>
      </c>
      <c r="F32" s="169" t="s">
        <v>424</v>
      </c>
      <c r="G32" s="170" t="s">
        <v>87</v>
      </c>
      <c r="H32" s="158" t="str">
        <f>VLOOKUP(E32,WD!$C$6:$K$46,3,FALSE)</f>
        <v>羚靖</v>
      </c>
      <c r="I32" s="171" t="s">
        <v>424</v>
      </c>
      <c r="J32" s="158" t="str">
        <f>VLOOKUP(G32,WD!$C$6:$K$46,3,FALSE)</f>
        <v>Pillarsports </v>
      </c>
      <c r="K32" s="171">
        <v>0</v>
      </c>
      <c r="L32" s="171">
        <v>0</v>
      </c>
      <c r="M32" s="171">
        <f>21+21</f>
        <v>42</v>
      </c>
      <c r="N32" s="171">
        <v>2</v>
      </c>
      <c r="O32" s="143" t="s">
        <v>1224</v>
      </c>
    </row>
    <row r="33" spans="2:15" ht="20.25">
      <c r="B33" s="175">
        <v>28</v>
      </c>
      <c r="C33" s="189" t="s">
        <v>423</v>
      </c>
      <c r="D33" s="190">
        <v>28</v>
      </c>
      <c r="E33" s="179" t="s">
        <v>69</v>
      </c>
      <c r="F33" s="180" t="s">
        <v>424</v>
      </c>
      <c r="G33" s="181" t="s">
        <v>75</v>
      </c>
      <c r="H33" s="158" t="str">
        <f>VLOOKUP(E33,WD!$C$6:$K$46,3,FALSE)</f>
        <v>稻八</v>
      </c>
      <c r="I33" s="171" t="s">
        <v>424</v>
      </c>
      <c r="J33" s="158" t="str">
        <f>VLOOKUP(G33,WD!$C$6:$K$46,3,FALSE)</f>
        <v>ST</v>
      </c>
      <c r="K33" s="171">
        <v>1</v>
      </c>
      <c r="L33" s="171">
        <f>21+21</f>
        <v>42</v>
      </c>
      <c r="M33" s="171">
        <f>15+23</f>
        <v>38</v>
      </c>
      <c r="N33" s="171">
        <v>1</v>
      </c>
      <c r="O33" s="173" t="s">
        <v>850</v>
      </c>
    </row>
    <row r="34" ht="20.25">
      <c r="L34" s="406" t="s">
        <v>851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2" sqref="D12"/>
    </sheetView>
  </sheetViews>
  <sheetFormatPr defaultColWidth="8.796875" defaultRowHeight="15"/>
  <cols>
    <col min="2" max="2" width="12.796875" style="0" customWidth="1"/>
  </cols>
  <sheetData>
    <row r="1" spans="1:5" ht="20.25" thickBot="1">
      <c r="A1" s="589" t="s">
        <v>1211</v>
      </c>
      <c r="B1" s="590"/>
      <c r="C1" s="590"/>
      <c r="D1" s="590"/>
      <c r="E1" s="590"/>
    </row>
    <row r="2" spans="1:5" ht="18" thickTop="1">
      <c r="A2" s="590"/>
      <c r="B2" s="590"/>
      <c r="C2" s="590"/>
      <c r="D2" s="590"/>
      <c r="E2" s="590"/>
    </row>
    <row r="3" spans="1:5" ht="17.25">
      <c r="A3" s="591" t="s">
        <v>1208</v>
      </c>
      <c r="B3" s="591" t="s">
        <v>1209</v>
      </c>
      <c r="C3" s="591" t="s">
        <v>1210</v>
      </c>
      <c r="D3" s="591" t="s">
        <v>1210</v>
      </c>
      <c r="E3" s="591" t="s">
        <v>415</v>
      </c>
    </row>
    <row r="4" spans="1:5" ht="17.25">
      <c r="A4" s="592">
        <v>1</v>
      </c>
      <c r="B4" s="1" t="s">
        <v>619</v>
      </c>
      <c r="C4" s="593" t="s">
        <v>622</v>
      </c>
      <c r="D4" s="593" t="s">
        <v>620</v>
      </c>
      <c r="E4" s="592">
        <v>144</v>
      </c>
    </row>
    <row r="5" spans="1:5" ht="17.25">
      <c r="A5" s="592">
        <v>2</v>
      </c>
      <c r="B5" s="1" t="s">
        <v>634</v>
      </c>
      <c r="C5" s="593" t="s">
        <v>635</v>
      </c>
      <c r="D5" s="593" t="s">
        <v>637</v>
      </c>
      <c r="E5" s="592">
        <v>132</v>
      </c>
    </row>
    <row r="6" spans="1:5" ht="17.25">
      <c r="A6" s="592">
        <v>3</v>
      </c>
      <c r="B6" s="1" t="s">
        <v>629</v>
      </c>
      <c r="C6" s="593" t="s">
        <v>632</v>
      </c>
      <c r="D6" s="593" t="s">
        <v>1212</v>
      </c>
      <c r="E6" s="592">
        <v>120</v>
      </c>
    </row>
    <row r="7" spans="1:5" ht="17.25">
      <c r="A7" s="592">
        <v>4</v>
      </c>
      <c r="B7" s="1" t="s">
        <v>614</v>
      </c>
      <c r="C7" s="593" t="s">
        <v>615</v>
      </c>
      <c r="D7" s="593" t="s">
        <v>617</v>
      </c>
      <c r="E7" s="592">
        <v>108</v>
      </c>
    </row>
    <row r="8" spans="1:5" ht="17.25">
      <c r="A8" s="592">
        <v>5</v>
      </c>
      <c r="B8" s="1" t="s">
        <v>624</v>
      </c>
      <c r="C8" s="593" t="s">
        <v>627</v>
      </c>
      <c r="D8" s="593" t="s">
        <v>625</v>
      </c>
      <c r="E8" s="592">
        <v>96</v>
      </c>
    </row>
    <row r="9" spans="1:5" ht="17.25">
      <c r="A9" s="592">
        <v>6</v>
      </c>
      <c r="B9" s="1" t="s">
        <v>821</v>
      </c>
      <c r="C9" s="593" t="s">
        <v>652</v>
      </c>
      <c r="D9" s="593" t="s">
        <v>650</v>
      </c>
      <c r="E9" s="592">
        <v>90</v>
      </c>
    </row>
    <row r="10" spans="1:5" ht="17.25">
      <c r="A10" s="592">
        <v>7</v>
      </c>
      <c r="B10" s="1" t="s">
        <v>644</v>
      </c>
      <c r="C10" s="593" t="s">
        <v>645</v>
      </c>
      <c r="D10" s="593" t="s">
        <v>647</v>
      </c>
      <c r="E10" s="592">
        <v>84</v>
      </c>
    </row>
    <row r="11" spans="1:5" ht="17.25">
      <c r="A11" s="592">
        <v>8</v>
      </c>
      <c r="B11" s="1" t="s">
        <v>639</v>
      </c>
      <c r="C11" s="593" t="s">
        <v>640</v>
      </c>
      <c r="D11" s="593" t="s">
        <v>642</v>
      </c>
      <c r="E11" s="592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0"/>
  <sheetViews>
    <sheetView zoomScale="70" zoomScaleNormal="70" zoomScalePageLayoutView="0" workbookViewId="0" topLeftCell="A26">
      <selection activeCell="F32" sqref="F32"/>
    </sheetView>
  </sheetViews>
  <sheetFormatPr defaultColWidth="7.69921875" defaultRowHeight="15"/>
  <cols>
    <col min="1" max="5" width="15.796875" style="96" customWidth="1"/>
    <col min="6" max="6" width="15.796875" style="107" customWidth="1"/>
    <col min="7" max="7" width="15.796875" style="96" customWidth="1"/>
    <col min="8" max="8" width="15.796875" style="107" customWidth="1"/>
    <col min="9" max="9" width="15.796875" style="96" customWidth="1"/>
    <col min="10" max="10" width="15.796875" style="602" customWidth="1"/>
    <col min="11" max="12" width="15.796875" style="96" customWidth="1"/>
    <col min="13" max="16384" width="7.69921875" style="96" customWidth="1"/>
  </cols>
  <sheetData>
    <row r="1" spans="2:7" ht="17.25">
      <c r="B1" s="97" t="s">
        <v>852</v>
      </c>
      <c r="C1" s="98"/>
      <c r="D1" s="98"/>
      <c r="E1" s="99"/>
      <c r="F1" s="193"/>
      <c r="G1" s="99"/>
    </row>
    <row r="2" spans="2:7" ht="17.25">
      <c r="B2" s="97"/>
      <c r="C2" s="98"/>
      <c r="D2" s="98"/>
      <c r="E2" s="99"/>
      <c r="F2" s="193"/>
      <c r="G2" s="99"/>
    </row>
    <row r="3" spans="2:7" ht="17.25">
      <c r="B3" s="97" t="s">
        <v>367</v>
      </c>
      <c r="C3" s="98"/>
      <c r="D3" s="98"/>
      <c r="E3" s="99"/>
      <c r="F3" s="193"/>
      <c r="G3" s="99"/>
    </row>
    <row r="4" spans="2:7" ht="17.25">
      <c r="B4" s="97" t="s">
        <v>812</v>
      </c>
      <c r="C4" s="99"/>
      <c r="E4" s="97"/>
      <c r="F4" s="193"/>
      <c r="G4" s="99"/>
    </row>
    <row r="5" spans="2:9" ht="17.25">
      <c r="B5" s="407" t="s">
        <v>853</v>
      </c>
      <c r="C5" s="99"/>
      <c r="E5" s="407"/>
      <c r="F5" s="196"/>
      <c r="G5" s="197"/>
      <c r="H5" s="215"/>
      <c r="I5" s="198"/>
    </row>
    <row r="6" spans="2:8" ht="17.25">
      <c r="B6" s="408"/>
      <c r="C6" s="408"/>
      <c r="D6" s="409"/>
      <c r="E6" s="198"/>
      <c r="F6" s="215"/>
      <c r="G6" s="198"/>
      <c r="H6" s="215"/>
    </row>
    <row r="7" spans="2:9" ht="17.25">
      <c r="B7" s="199" t="s">
        <v>423</v>
      </c>
      <c r="C7" s="199" t="s">
        <v>460</v>
      </c>
      <c r="D7" s="199" t="s">
        <v>461</v>
      </c>
      <c r="E7" s="410" t="s">
        <v>462</v>
      </c>
      <c r="F7" s="199" t="s">
        <v>463</v>
      </c>
      <c r="G7" s="199" t="s">
        <v>464</v>
      </c>
      <c r="H7" s="199" t="s">
        <v>465</v>
      </c>
      <c r="I7" s="199" t="s">
        <v>466</v>
      </c>
    </row>
    <row r="8" spans="2:9" ht="18" customHeight="1">
      <c r="B8" s="411" t="s">
        <v>467</v>
      </c>
      <c r="C8" s="411" t="s">
        <v>468</v>
      </c>
      <c r="D8" s="411" t="s">
        <v>469</v>
      </c>
      <c r="E8" s="411" t="s">
        <v>470</v>
      </c>
      <c r="F8" s="412" t="s">
        <v>471</v>
      </c>
      <c r="G8" s="412" t="s">
        <v>472</v>
      </c>
      <c r="H8" s="412" t="s">
        <v>473</v>
      </c>
      <c r="I8" s="412" t="s">
        <v>474</v>
      </c>
    </row>
    <row r="9" spans="2:9" ht="17.25">
      <c r="B9" s="411" t="s">
        <v>475</v>
      </c>
      <c r="C9" s="411" t="s">
        <v>476</v>
      </c>
      <c r="D9" s="411" t="s">
        <v>477</v>
      </c>
      <c r="E9" s="411" t="s">
        <v>478</v>
      </c>
      <c r="F9" s="412" t="s">
        <v>479</v>
      </c>
      <c r="G9" s="412" t="s">
        <v>480</v>
      </c>
      <c r="H9" s="412" t="s">
        <v>481</v>
      </c>
      <c r="I9" s="412" t="s">
        <v>482</v>
      </c>
    </row>
    <row r="10" spans="2:9" ht="17.25">
      <c r="B10" s="413" t="s">
        <v>483</v>
      </c>
      <c r="C10" s="413" t="s">
        <v>484</v>
      </c>
      <c r="D10" s="413" t="s">
        <v>485</v>
      </c>
      <c r="E10" s="413" t="s">
        <v>486</v>
      </c>
      <c r="F10" s="413" t="s">
        <v>487</v>
      </c>
      <c r="G10" s="413" t="s">
        <v>488</v>
      </c>
      <c r="H10" s="413" t="s">
        <v>489</v>
      </c>
      <c r="I10" s="413" t="s">
        <v>490</v>
      </c>
    </row>
    <row r="11" spans="2:9" ht="17.25">
      <c r="B11" s="414" t="s">
        <v>491</v>
      </c>
      <c r="C11" s="415" t="s">
        <v>492</v>
      </c>
      <c r="D11" s="411" t="s">
        <v>493</v>
      </c>
      <c r="E11" s="411" t="s">
        <v>494</v>
      </c>
      <c r="F11" s="411" t="s">
        <v>495</v>
      </c>
      <c r="G11" s="411" t="s">
        <v>496</v>
      </c>
      <c r="H11" s="411" t="s">
        <v>497</v>
      </c>
      <c r="I11" s="411" t="s">
        <v>498</v>
      </c>
    </row>
    <row r="12" spans="2:9" ht="17.25">
      <c r="B12" s="416" t="s">
        <v>499</v>
      </c>
      <c r="C12" s="417"/>
      <c r="D12" s="417"/>
      <c r="E12" s="417"/>
      <c r="F12" s="586"/>
      <c r="G12" s="417"/>
      <c r="H12" s="586"/>
      <c r="I12" s="417"/>
    </row>
    <row r="13" spans="2:9" ht="17.25">
      <c r="B13" s="418"/>
      <c r="C13" s="417"/>
      <c r="D13" s="417"/>
      <c r="E13" s="417"/>
      <c r="F13" s="586"/>
      <c r="G13" s="417"/>
      <c r="H13" s="586"/>
      <c r="I13" s="417"/>
    </row>
    <row r="14" ht="17.25">
      <c r="B14" s="103"/>
    </row>
    <row r="15" spans="2:10" s="99" customFormat="1" ht="16.5">
      <c r="B15" s="259" t="s">
        <v>583</v>
      </c>
      <c r="E15" s="407"/>
      <c r="F15" s="587"/>
      <c r="G15" s="407"/>
      <c r="H15" s="597"/>
      <c r="I15" s="97"/>
      <c r="J15" s="603"/>
    </row>
    <row r="16" spans="2:10" s="99" customFormat="1" ht="16.5">
      <c r="B16" s="259" t="s">
        <v>584</v>
      </c>
      <c r="E16" s="407"/>
      <c r="F16" s="587"/>
      <c r="G16" s="407"/>
      <c r="H16" s="597"/>
      <c r="I16" s="97"/>
      <c r="J16" s="603"/>
    </row>
    <row r="17" spans="2:10" s="99" customFormat="1" ht="16.5">
      <c r="B17" s="259" t="s">
        <v>585</v>
      </c>
      <c r="E17" s="407"/>
      <c r="F17" s="587"/>
      <c r="G17" s="407"/>
      <c r="H17" s="597"/>
      <c r="I17" s="97"/>
      <c r="J17" s="603"/>
    </row>
    <row r="18" spans="6:10" s="99" customFormat="1" ht="16.5">
      <c r="F18" s="193"/>
      <c r="H18" s="193"/>
      <c r="J18" s="604"/>
    </row>
    <row r="19" spans="2:10" s="99" customFormat="1" ht="16.5">
      <c r="B19" s="242" t="s">
        <v>586</v>
      </c>
      <c r="D19" s="193"/>
      <c r="F19" s="193"/>
      <c r="H19" s="193"/>
      <c r="J19" s="604"/>
    </row>
    <row r="20" spans="3:4" ht="18" customHeight="1">
      <c r="C20" s="136"/>
      <c r="D20" s="107"/>
    </row>
    <row r="21" ht="17.25">
      <c r="B21" s="191"/>
    </row>
    <row r="22" spans="2:3" ht="17.25">
      <c r="B22" s="235" t="str">
        <f>'女乙賽程'!R7</f>
        <v>奸巴爹</v>
      </c>
      <c r="C22" s="260" t="s">
        <v>117</v>
      </c>
    </row>
    <row r="23" spans="2:4" ht="17.25">
      <c r="B23" s="191"/>
      <c r="C23" s="261" t="s">
        <v>854</v>
      </c>
      <c r="D23" s="120"/>
    </row>
    <row r="24" spans="2:12" ht="18">
      <c r="B24" s="191"/>
      <c r="C24" s="111" t="s">
        <v>1192</v>
      </c>
      <c r="D24" s="263" t="str">
        <f>B22</f>
        <v>奸巴爹</v>
      </c>
      <c r="E24" s="222"/>
      <c r="F24" s="227"/>
      <c r="G24" s="223"/>
      <c r="H24" s="227"/>
      <c r="I24" s="223"/>
      <c r="L24" s="232"/>
    </row>
    <row r="25" spans="2:15" ht="17.25">
      <c r="B25" s="235" t="str">
        <f>B77</f>
        <v>RACO</v>
      </c>
      <c r="C25" s="271" t="s">
        <v>179</v>
      </c>
      <c r="D25" s="261"/>
      <c r="E25" s="264"/>
      <c r="F25" s="227"/>
      <c r="G25" s="223"/>
      <c r="H25" s="227"/>
      <c r="I25" s="223"/>
      <c r="M25" s="222"/>
      <c r="N25" s="222"/>
      <c r="O25" s="223"/>
    </row>
    <row r="26" spans="2:15" ht="17.25">
      <c r="B26" s="191"/>
      <c r="D26" s="261" t="s">
        <v>855</v>
      </c>
      <c r="E26" s="223"/>
      <c r="F26" s="582" t="str">
        <f>D24</f>
        <v>奸巴爹</v>
      </c>
      <c r="G26" s="223"/>
      <c r="H26" s="227"/>
      <c r="I26" s="223"/>
      <c r="M26" s="222"/>
      <c r="N26" s="222"/>
      <c r="O26" s="223"/>
    </row>
    <row r="27" spans="2:15" ht="18">
      <c r="B27" s="265"/>
      <c r="D27" s="111" t="s">
        <v>457</v>
      </c>
      <c r="E27" s="223"/>
      <c r="F27" s="226"/>
      <c r="G27" s="223"/>
      <c r="H27" s="227"/>
      <c r="I27" s="223"/>
      <c r="M27" s="232"/>
      <c r="N27" s="223"/>
      <c r="O27" s="223"/>
    </row>
    <row r="28" spans="2:15" ht="18">
      <c r="B28" s="235" t="str">
        <f>B75</f>
        <v>葵青-啫喱冰冰</v>
      </c>
      <c r="C28" s="260" t="s">
        <v>191</v>
      </c>
      <c r="D28" s="266"/>
      <c r="E28" s="222"/>
      <c r="F28" s="226"/>
      <c r="G28" s="267"/>
      <c r="H28" s="227"/>
      <c r="I28" s="223"/>
      <c r="M28" s="232"/>
      <c r="N28" s="223"/>
      <c r="O28" s="223"/>
    </row>
    <row r="29" spans="2:15" ht="18">
      <c r="B29" s="268"/>
      <c r="C29" s="261" t="s">
        <v>856</v>
      </c>
      <c r="D29" s="269" t="str">
        <f>B28</f>
        <v>葵青-啫喱冰冰</v>
      </c>
      <c r="E29" s="270"/>
      <c r="F29" s="226"/>
      <c r="G29" s="267"/>
      <c r="H29" s="227"/>
      <c r="I29" s="223"/>
      <c r="M29" s="222"/>
      <c r="N29" s="222"/>
      <c r="O29" s="223"/>
    </row>
    <row r="30" spans="2:15" ht="18">
      <c r="B30" s="191"/>
      <c r="C30" s="111" t="s">
        <v>1188</v>
      </c>
      <c r="D30" s="222"/>
      <c r="E30" s="222"/>
      <c r="F30" s="226"/>
      <c r="G30" s="267"/>
      <c r="H30" s="227"/>
      <c r="I30" s="223"/>
      <c r="L30" s="232"/>
      <c r="M30" s="222"/>
      <c r="N30" s="270"/>
      <c r="O30" s="223"/>
    </row>
    <row r="31" spans="2:15" ht="18">
      <c r="B31" s="235" t="str">
        <f>'女乙賽程'!Z25</f>
        <v>LIZ&amp;KEL</v>
      </c>
      <c r="C31" s="271" t="s">
        <v>160</v>
      </c>
      <c r="D31" s="222"/>
      <c r="E31" s="232"/>
      <c r="F31" s="261" t="s">
        <v>857</v>
      </c>
      <c r="G31" s="232"/>
      <c r="H31" s="227"/>
      <c r="I31" s="223"/>
      <c r="M31" s="222"/>
      <c r="N31" s="222"/>
      <c r="O31" s="223"/>
    </row>
    <row r="32" spans="2:15" ht="18">
      <c r="B32" s="191"/>
      <c r="D32" s="222"/>
      <c r="E32" s="222"/>
      <c r="F32" s="111" t="s">
        <v>1222</v>
      </c>
      <c r="G32" s="272"/>
      <c r="H32" s="598" t="str">
        <f>F26</f>
        <v>奸巴爹</v>
      </c>
      <c r="M32" s="222"/>
      <c r="N32" s="232"/>
      <c r="O32" s="232"/>
    </row>
    <row r="33" spans="2:15" ht="18">
      <c r="B33" s="265"/>
      <c r="C33" s="136"/>
      <c r="D33" s="222"/>
      <c r="E33" s="222"/>
      <c r="F33" s="226"/>
      <c r="H33" s="241"/>
      <c r="M33" s="222"/>
      <c r="N33" s="222"/>
      <c r="O33" s="223"/>
    </row>
    <row r="34" spans="2:15" ht="18">
      <c r="B34" s="234" t="str">
        <f>'女乙賽程'!R19</f>
        <v>求奇</v>
      </c>
      <c r="C34" s="260" t="s">
        <v>141</v>
      </c>
      <c r="D34" s="232"/>
      <c r="E34" s="223"/>
      <c r="F34" s="226"/>
      <c r="H34" s="241"/>
      <c r="M34" s="222"/>
      <c r="N34" s="222"/>
      <c r="O34" s="223"/>
    </row>
    <row r="35" spans="2:15" ht="17.25">
      <c r="B35" s="191"/>
      <c r="C35" s="261" t="s">
        <v>858</v>
      </c>
      <c r="D35" s="273"/>
      <c r="E35" s="223"/>
      <c r="F35" s="226"/>
      <c r="H35" s="241"/>
      <c r="M35" s="222"/>
      <c r="N35" s="222"/>
      <c r="O35" s="223"/>
    </row>
    <row r="36" spans="2:15" ht="18">
      <c r="B36" s="191"/>
      <c r="C36" s="128" t="s">
        <v>1193</v>
      </c>
      <c r="D36" s="274"/>
      <c r="E36" s="222"/>
      <c r="F36" s="226"/>
      <c r="H36" s="241"/>
      <c r="M36" s="232"/>
      <c r="N36" s="223"/>
      <c r="O36" s="223"/>
    </row>
    <row r="37" spans="2:15" ht="18">
      <c r="B37" s="235" t="str">
        <f>B78</f>
        <v>J&amp;M</v>
      </c>
      <c r="C37" s="271" t="s">
        <v>172</v>
      </c>
      <c r="D37" s="263" t="str">
        <f>B34</f>
        <v>求奇</v>
      </c>
      <c r="E37" s="222"/>
      <c r="F37" s="226"/>
      <c r="H37" s="241"/>
      <c r="I37" s="223"/>
      <c r="L37" s="232"/>
      <c r="M37" s="222"/>
      <c r="N37" s="222"/>
      <c r="O37" s="223"/>
    </row>
    <row r="38" spans="2:15" ht="17.25">
      <c r="B38" s="191"/>
      <c r="D38" s="261"/>
      <c r="E38" s="275"/>
      <c r="F38" s="582" t="str">
        <f>D42</f>
        <v>大力死守</v>
      </c>
      <c r="G38" s="267"/>
      <c r="H38" s="226"/>
      <c r="I38" s="223"/>
      <c r="M38" s="222"/>
      <c r="N38" s="222"/>
      <c r="O38" s="223"/>
    </row>
    <row r="39" spans="2:15" ht="18">
      <c r="B39" s="191"/>
      <c r="D39" s="261" t="s">
        <v>859</v>
      </c>
      <c r="E39" s="222"/>
      <c r="F39" s="227"/>
      <c r="G39" s="223"/>
      <c r="H39" s="226"/>
      <c r="I39" s="223"/>
      <c r="M39" s="232"/>
      <c r="N39" s="222"/>
      <c r="O39" s="223"/>
    </row>
    <row r="40" spans="2:15" ht="17.25">
      <c r="B40" s="191"/>
      <c r="C40" s="104"/>
      <c r="D40" s="266" t="s">
        <v>1207</v>
      </c>
      <c r="E40" s="222"/>
      <c r="F40" s="227"/>
      <c r="G40" s="223"/>
      <c r="H40" s="226"/>
      <c r="I40" s="223"/>
      <c r="M40" s="222"/>
      <c r="N40" s="222"/>
      <c r="O40" s="223"/>
    </row>
    <row r="41" spans="2:15" ht="17.25">
      <c r="B41" s="235" t="s">
        <v>747</v>
      </c>
      <c r="C41" s="260" t="s">
        <v>203</v>
      </c>
      <c r="D41" s="266"/>
      <c r="E41" s="222"/>
      <c r="F41" s="227"/>
      <c r="G41" s="223"/>
      <c r="H41" s="226"/>
      <c r="I41" s="223"/>
      <c r="M41" s="222"/>
      <c r="N41" s="222"/>
      <c r="O41" s="223"/>
    </row>
    <row r="42" spans="2:15" ht="17.25">
      <c r="B42" s="191"/>
      <c r="C42" s="261" t="s">
        <v>860</v>
      </c>
      <c r="D42" s="263" t="str">
        <f>B44</f>
        <v>大力死守</v>
      </c>
      <c r="E42" s="222"/>
      <c r="F42" s="227"/>
      <c r="G42" s="223"/>
      <c r="H42" s="226"/>
      <c r="I42" s="223"/>
      <c r="M42" s="222"/>
      <c r="N42" s="222"/>
      <c r="O42" s="223"/>
    </row>
    <row r="43" spans="2:15" ht="15.75" customHeight="1">
      <c r="B43" s="191"/>
      <c r="C43" s="111" t="s">
        <v>1189</v>
      </c>
      <c r="D43" s="222"/>
      <c r="E43" s="222"/>
      <c r="F43" s="227"/>
      <c r="G43" s="223"/>
      <c r="H43" s="261" t="s">
        <v>861</v>
      </c>
      <c r="I43" s="223"/>
      <c r="J43" s="605"/>
      <c r="L43" s="232"/>
      <c r="M43" s="222"/>
      <c r="N43" s="222"/>
      <c r="O43" s="223"/>
    </row>
    <row r="44" spans="2:15" ht="15.75" customHeight="1">
      <c r="B44" s="235" t="str">
        <f>'女乙賽程'!Z13</f>
        <v>大力死守</v>
      </c>
      <c r="C44" s="271" t="s">
        <v>135</v>
      </c>
      <c r="D44" s="232"/>
      <c r="E44" s="223"/>
      <c r="F44" s="227"/>
      <c r="H44" s="277" t="s">
        <v>385</v>
      </c>
      <c r="I44" s="276"/>
      <c r="J44" s="606" t="str">
        <f>F26</f>
        <v>奸巴爹</v>
      </c>
      <c r="K44" s="115"/>
      <c r="M44" s="222"/>
      <c r="N44" s="222"/>
      <c r="O44" s="223"/>
    </row>
    <row r="45" spans="2:15" ht="18">
      <c r="B45" s="191"/>
      <c r="D45" s="222"/>
      <c r="E45" s="222"/>
      <c r="F45" s="227"/>
      <c r="H45" s="611" t="s">
        <v>1199</v>
      </c>
      <c r="J45" s="607"/>
      <c r="M45" s="232"/>
      <c r="N45" s="223"/>
      <c r="O45" s="223"/>
    </row>
    <row r="46" spans="2:15" ht="18">
      <c r="B46" s="191"/>
      <c r="C46" s="136"/>
      <c r="D46" s="222"/>
      <c r="E46" s="270"/>
      <c r="F46" s="227"/>
      <c r="G46" s="278"/>
      <c r="H46" s="226"/>
      <c r="I46" s="278"/>
      <c r="M46" s="222"/>
      <c r="N46" s="222"/>
      <c r="O46" s="223"/>
    </row>
    <row r="47" spans="2:15" ht="18">
      <c r="B47" s="235">
        <f>'女乙賽程'!R13</f>
        <v>1442</v>
      </c>
      <c r="C47" s="260" t="s">
        <v>129</v>
      </c>
      <c r="G47" s="223"/>
      <c r="H47" s="226"/>
      <c r="I47" s="223"/>
      <c r="M47" s="222"/>
      <c r="N47" s="270"/>
      <c r="O47" s="223"/>
    </row>
    <row r="48" spans="2:9" ht="17.25">
      <c r="B48" s="191"/>
      <c r="C48" s="261" t="s">
        <v>862</v>
      </c>
      <c r="G48" s="223"/>
      <c r="H48" s="226"/>
      <c r="I48" s="223"/>
    </row>
    <row r="49" spans="2:12" ht="18">
      <c r="B49" s="191"/>
      <c r="C49" s="111" t="s">
        <v>1194</v>
      </c>
      <c r="D49" s="263">
        <f>B47</f>
        <v>1442</v>
      </c>
      <c r="E49" s="222"/>
      <c r="F49" s="227"/>
      <c r="G49" s="223"/>
      <c r="H49" s="226"/>
      <c r="I49" s="223"/>
      <c r="L49" s="232"/>
    </row>
    <row r="50" spans="2:15" ht="17.25">
      <c r="B50" s="235" t="str">
        <f>B76</f>
        <v>Puipui</v>
      </c>
      <c r="C50" s="271" t="s">
        <v>185</v>
      </c>
      <c r="D50" s="266"/>
      <c r="E50" s="264"/>
      <c r="F50" s="227"/>
      <c r="G50" s="223"/>
      <c r="H50" s="226"/>
      <c r="I50" s="223"/>
      <c r="M50" s="222"/>
      <c r="N50" s="222"/>
      <c r="O50" s="223"/>
    </row>
    <row r="51" spans="2:15" ht="17.25">
      <c r="B51" s="191"/>
      <c r="D51" s="261" t="s">
        <v>863</v>
      </c>
      <c r="E51" s="223"/>
      <c r="F51" s="582" t="str">
        <f>D54</f>
        <v>標腰</v>
      </c>
      <c r="G51" s="223"/>
      <c r="H51" s="226"/>
      <c r="I51" s="223"/>
      <c r="M51" s="222"/>
      <c r="N51" s="222"/>
      <c r="O51" s="223"/>
    </row>
    <row r="52" spans="2:15" ht="18">
      <c r="B52" s="191"/>
      <c r="D52" s="585" t="s">
        <v>1206</v>
      </c>
      <c r="E52" s="223"/>
      <c r="F52" s="226"/>
      <c r="G52" s="223"/>
      <c r="H52" s="226"/>
      <c r="I52" s="223"/>
      <c r="M52" s="232"/>
      <c r="N52" s="223"/>
      <c r="O52" s="223"/>
    </row>
    <row r="53" spans="2:15" ht="18">
      <c r="B53" s="235" t="str">
        <f>B72</f>
        <v>嗯</v>
      </c>
      <c r="C53" s="260" t="s">
        <v>209</v>
      </c>
      <c r="D53" s="262"/>
      <c r="E53" s="222"/>
      <c r="F53" s="226"/>
      <c r="G53" s="279"/>
      <c r="H53" s="226"/>
      <c r="I53" s="223"/>
      <c r="M53" s="232"/>
      <c r="N53" s="223"/>
      <c r="O53" s="223"/>
    </row>
    <row r="54" spans="2:15" ht="18">
      <c r="B54" s="191"/>
      <c r="C54" s="261" t="s">
        <v>864</v>
      </c>
      <c r="D54" s="263" t="str">
        <f>B56</f>
        <v>標腰</v>
      </c>
      <c r="E54" s="270"/>
      <c r="F54" s="226"/>
      <c r="G54" s="222"/>
      <c r="H54" s="226"/>
      <c r="I54" s="223"/>
      <c r="M54" s="222"/>
      <c r="N54" s="222"/>
      <c r="O54" s="223"/>
    </row>
    <row r="55" spans="2:15" ht="18">
      <c r="B55" s="227"/>
      <c r="C55" s="111" t="s">
        <v>1190</v>
      </c>
      <c r="D55" s="222"/>
      <c r="E55" s="222"/>
      <c r="F55" s="226"/>
      <c r="G55" s="222"/>
      <c r="H55" s="226"/>
      <c r="I55" s="223"/>
      <c r="L55" s="232"/>
      <c r="M55" s="222"/>
      <c r="N55" s="270"/>
      <c r="O55" s="223"/>
    </row>
    <row r="56" spans="2:15" ht="18">
      <c r="B56" s="235" t="str">
        <f>'女乙賽程'!Z19</f>
        <v>標腰</v>
      </c>
      <c r="C56" s="271" t="s">
        <v>147</v>
      </c>
      <c r="D56" s="222"/>
      <c r="E56" s="232"/>
      <c r="F56" s="261" t="s">
        <v>865</v>
      </c>
      <c r="G56" s="118"/>
      <c r="H56" s="599" t="str">
        <f>F51</f>
        <v>標腰</v>
      </c>
      <c r="I56" s="223"/>
      <c r="M56" s="222"/>
      <c r="N56" s="222"/>
      <c r="O56" s="223"/>
    </row>
    <row r="57" spans="2:15" ht="18">
      <c r="B57" s="227"/>
      <c r="D57" s="222"/>
      <c r="E57" s="222"/>
      <c r="F57" s="111" t="s">
        <v>1221</v>
      </c>
      <c r="I57" s="223"/>
      <c r="K57" s="223"/>
      <c r="M57" s="222"/>
      <c r="N57" s="232"/>
      <c r="O57" s="232"/>
    </row>
    <row r="58" spans="2:15" ht="17.25">
      <c r="B58" s="191"/>
      <c r="D58" s="222"/>
      <c r="E58" s="222"/>
      <c r="F58" s="226"/>
      <c r="I58" s="223"/>
      <c r="M58" s="222"/>
      <c r="N58" s="222"/>
      <c r="O58" s="223"/>
    </row>
    <row r="59" spans="2:15" ht="18">
      <c r="B59" s="235" t="str">
        <f>B79</f>
        <v>Synergy</v>
      </c>
      <c r="C59" s="260" t="s">
        <v>166</v>
      </c>
      <c r="D59" s="232"/>
      <c r="E59" s="223"/>
      <c r="F59" s="226"/>
      <c r="I59" s="223"/>
      <c r="K59" s="223"/>
      <c r="M59" s="222"/>
      <c r="N59" s="222"/>
      <c r="O59" s="223"/>
    </row>
    <row r="60" spans="2:15" ht="18">
      <c r="B60" s="191"/>
      <c r="C60" s="261" t="s">
        <v>866</v>
      </c>
      <c r="D60" s="280"/>
      <c r="E60" s="222"/>
      <c r="F60" s="226"/>
      <c r="G60" s="223"/>
      <c r="K60" s="223"/>
      <c r="M60" s="232"/>
      <c r="N60" s="223"/>
      <c r="O60" s="223"/>
    </row>
    <row r="61" spans="2:15" ht="18">
      <c r="B61" s="227"/>
      <c r="C61" s="111" t="s">
        <v>1195</v>
      </c>
      <c r="D61" s="263" t="str">
        <f>B62</f>
        <v>Agajor Moloko</v>
      </c>
      <c r="E61" s="222"/>
      <c r="F61" s="226"/>
      <c r="J61" s="608"/>
      <c r="K61" s="223"/>
      <c r="L61" s="232"/>
      <c r="M61" s="222"/>
      <c r="N61" s="222"/>
      <c r="O61" s="223"/>
    </row>
    <row r="62" spans="2:15" ht="17.25">
      <c r="B62" s="235" t="str">
        <f>'女乙賽程'!R25</f>
        <v>Agajor Moloko</v>
      </c>
      <c r="C62" s="271" t="s">
        <v>153</v>
      </c>
      <c r="D62" s="261"/>
      <c r="E62" s="275"/>
      <c r="F62" s="582" t="str">
        <f>D66</f>
        <v>贏粒糖</v>
      </c>
      <c r="H62" s="600" t="str">
        <f>F38</f>
        <v>大力死守</v>
      </c>
      <c r="I62" s="115"/>
      <c r="J62" s="608"/>
      <c r="M62" s="222"/>
      <c r="N62" s="222"/>
      <c r="O62" s="223"/>
    </row>
    <row r="63" spans="2:15" ht="18">
      <c r="B63" s="191"/>
      <c r="D63" s="261" t="s">
        <v>867</v>
      </c>
      <c r="E63" s="222"/>
      <c r="F63" s="227"/>
      <c r="H63" s="601"/>
      <c r="J63" s="608"/>
      <c r="K63" s="223"/>
      <c r="M63" s="232"/>
      <c r="N63" s="222"/>
      <c r="O63" s="223"/>
    </row>
    <row r="64" spans="2:15" ht="17.25">
      <c r="B64" s="265"/>
      <c r="D64" s="111" t="s">
        <v>1205</v>
      </c>
      <c r="E64" s="222"/>
      <c r="F64" s="227"/>
      <c r="H64" s="261" t="s">
        <v>868</v>
      </c>
      <c r="I64" s="281"/>
      <c r="J64" s="608"/>
      <c r="K64" s="223"/>
      <c r="M64" s="222"/>
      <c r="N64" s="222"/>
      <c r="O64" s="223"/>
    </row>
    <row r="65" spans="2:15" ht="17.25">
      <c r="B65" s="282" t="str">
        <f>B74</f>
        <v>大細波</v>
      </c>
      <c r="C65" s="260" t="s">
        <v>197</v>
      </c>
      <c r="D65" s="266"/>
      <c r="E65" s="222"/>
      <c r="F65" s="227"/>
      <c r="H65" s="241" t="s">
        <v>391</v>
      </c>
      <c r="I65" s="283"/>
      <c r="J65" s="609" t="str">
        <f>H62</f>
        <v>大力死守</v>
      </c>
      <c r="K65" s="115"/>
      <c r="M65" s="222"/>
      <c r="N65" s="222"/>
      <c r="O65" s="223"/>
    </row>
    <row r="66" spans="2:15" ht="17.25">
      <c r="B66" s="268"/>
      <c r="C66" s="261" t="s">
        <v>869</v>
      </c>
      <c r="D66" s="263" t="str">
        <f>B68</f>
        <v>贏粒糖</v>
      </c>
      <c r="E66" s="222"/>
      <c r="F66" s="227"/>
      <c r="H66" s="241" t="s">
        <v>1217</v>
      </c>
      <c r="J66" s="608"/>
      <c r="M66" s="222"/>
      <c r="N66" s="222"/>
      <c r="O66" s="223"/>
    </row>
    <row r="67" spans="2:15" ht="18">
      <c r="B67" s="191"/>
      <c r="C67" s="111" t="s">
        <v>1191</v>
      </c>
      <c r="D67" s="222"/>
      <c r="E67" s="222"/>
      <c r="F67" s="227"/>
      <c r="H67" s="241"/>
      <c r="J67" s="608"/>
      <c r="L67" s="232"/>
      <c r="M67" s="222"/>
      <c r="N67" s="222"/>
      <c r="O67" s="223"/>
    </row>
    <row r="68" spans="2:15" ht="18">
      <c r="B68" s="235" t="str">
        <f>'女乙賽程'!Z7</f>
        <v>贏粒糖</v>
      </c>
      <c r="C68" s="271" t="s">
        <v>123</v>
      </c>
      <c r="D68" s="232"/>
      <c r="E68" s="223"/>
      <c r="F68" s="227"/>
      <c r="G68" s="133"/>
      <c r="H68" s="582" t="str">
        <f>F62</f>
        <v>贏粒糖</v>
      </c>
      <c r="M68" s="222"/>
      <c r="N68" s="222"/>
      <c r="O68" s="223"/>
    </row>
    <row r="69" spans="2:15" ht="18">
      <c r="B69" s="191"/>
      <c r="D69" s="107"/>
      <c r="K69" s="107"/>
      <c r="M69" s="232"/>
      <c r="N69" s="223"/>
      <c r="O69" s="223"/>
    </row>
    <row r="70" spans="2:15" ht="18">
      <c r="B70" s="191"/>
      <c r="D70" s="107"/>
      <c r="K70" s="107"/>
      <c r="M70" s="232"/>
      <c r="N70" s="223"/>
      <c r="O70" s="223"/>
    </row>
    <row r="71" ht="17.25">
      <c r="F71" s="588"/>
    </row>
    <row r="72" spans="2:9" ht="18">
      <c r="B72" s="235" t="s">
        <v>751</v>
      </c>
      <c r="C72" s="285" t="s">
        <v>209</v>
      </c>
      <c r="E72" s="286" t="s">
        <v>393</v>
      </c>
      <c r="F72" s="584" t="s">
        <v>398</v>
      </c>
      <c r="G72" s="223" t="s">
        <v>654</v>
      </c>
      <c r="H72" s="419"/>
      <c r="I72" s="419"/>
    </row>
    <row r="73" spans="2:10" ht="18">
      <c r="B73" s="235" t="s">
        <v>747</v>
      </c>
      <c r="C73" s="285" t="s">
        <v>203</v>
      </c>
      <c r="E73" s="286" t="s">
        <v>395</v>
      </c>
      <c r="F73" s="584" t="s">
        <v>400</v>
      </c>
      <c r="G73" s="96" t="s">
        <v>678</v>
      </c>
      <c r="I73" s="419"/>
      <c r="J73" s="610"/>
    </row>
    <row r="74" spans="2:10" ht="18">
      <c r="B74" s="235" t="s">
        <v>663</v>
      </c>
      <c r="C74" s="285" t="s">
        <v>197</v>
      </c>
      <c r="E74" s="286" t="s">
        <v>397</v>
      </c>
      <c r="F74" s="584" t="s">
        <v>403</v>
      </c>
      <c r="G74" s="96" t="s">
        <v>727</v>
      </c>
      <c r="I74" s="419"/>
      <c r="J74" s="610"/>
    </row>
    <row r="75" spans="2:12" ht="18">
      <c r="B75" s="235" t="s">
        <v>1113</v>
      </c>
      <c r="C75" s="285" t="s">
        <v>191</v>
      </c>
      <c r="E75" s="286" t="s">
        <v>399</v>
      </c>
      <c r="F75" s="584" t="s">
        <v>408</v>
      </c>
      <c r="G75" s="96" t="s">
        <v>659</v>
      </c>
      <c r="I75" s="419"/>
      <c r="J75" s="610"/>
      <c r="K75" s="133"/>
      <c r="L75" s="223"/>
    </row>
    <row r="76" spans="2:10" ht="17.25">
      <c r="B76" s="235" t="s">
        <v>883</v>
      </c>
      <c r="C76" s="285" t="s">
        <v>185</v>
      </c>
      <c r="E76" s="286" t="s">
        <v>402</v>
      </c>
      <c r="F76" s="584" t="s">
        <v>603</v>
      </c>
      <c r="G76" s="96" t="s">
        <v>1113</v>
      </c>
      <c r="J76" s="610"/>
    </row>
    <row r="77" spans="2:7" ht="17.25">
      <c r="B77" s="235" t="s">
        <v>703</v>
      </c>
      <c r="C77" s="285" t="s">
        <v>179</v>
      </c>
      <c r="G77" s="96" t="s">
        <v>673</v>
      </c>
    </row>
    <row r="78" spans="2:7" ht="17.25">
      <c r="B78" s="235" t="s">
        <v>698</v>
      </c>
      <c r="C78" s="221" t="s">
        <v>172</v>
      </c>
      <c r="G78" s="103">
        <v>1442</v>
      </c>
    </row>
    <row r="79" spans="2:7" ht="17.25">
      <c r="B79" s="235" t="s">
        <v>693</v>
      </c>
      <c r="C79" s="289" t="s">
        <v>166</v>
      </c>
      <c r="G79" s="96" t="s">
        <v>683</v>
      </c>
    </row>
    <row r="80" spans="5:7" ht="17.25">
      <c r="E80" s="286" t="s">
        <v>604</v>
      </c>
      <c r="F80" s="584" t="s">
        <v>605</v>
      </c>
      <c r="G80" s="96" t="s">
        <v>703</v>
      </c>
    </row>
    <row r="81" ht="17.25">
      <c r="G81" s="96" t="s">
        <v>767</v>
      </c>
    </row>
    <row r="82" ht="17.25">
      <c r="G82" s="96" t="s">
        <v>698</v>
      </c>
    </row>
    <row r="83" ht="17.25">
      <c r="G83" s="96" t="s">
        <v>747</v>
      </c>
    </row>
    <row r="84" ht="17.25">
      <c r="G84" s="96" t="s">
        <v>883</v>
      </c>
    </row>
    <row r="85" ht="17.25">
      <c r="G85" s="96" t="s">
        <v>751</v>
      </c>
    </row>
    <row r="86" ht="17.25">
      <c r="G86" s="96" t="s">
        <v>693</v>
      </c>
    </row>
    <row r="87" ht="17.25">
      <c r="G87" s="96" t="s">
        <v>663</v>
      </c>
    </row>
    <row r="88" spans="5:7" ht="17.25">
      <c r="E88" s="288" t="s">
        <v>606</v>
      </c>
      <c r="F88" s="584" t="s">
        <v>607</v>
      </c>
      <c r="G88" s="96" t="s">
        <v>876</v>
      </c>
    </row>
    <row r="89" spans="6:7" ht="17.25">
      <c r="F89" s="103"/>
      <c r="G89" s="96" t="s">
        <v>723</v>
      </c>
    </row>
    <row r="90" spans="6:7" ht="17.25">
      <c r="F90" s="103"/>
      <c r="G90" s="96" t="s">
        <v>772</v>
      </c>
    </row>
    <row r="91" spans="6:7" ht="17.25">
      <c r="F91" s="103"/>
      <c r="G91" s="96" t="s">
        <v>735</v>
      </c>
    </row>
    <row r="92" spans="6:7" ht="17.25">
      <c r="F92" s="103"/>
      <c r="G92" s="96" t="s">
        <v>709</v>
      </c>
    </row>
    <row r="93" spans="6:7" ht="17.25">
      <c r="F93" s="103"/>
      <c r="G93" s="96" t="s">
        <v>785</v>
      </c>
    </row>
    <row r="94" spans="6:7" ht="17.25">
      <c r="F94" s="103"/>
      <c r="G94" s="96" t="s">
        <v>731</v>
      </c>
    </row>
    <row r="95" spans="5:7" ht="17.25">
      <c r="E95" s="288" t="s">
        <v>608</v>
      </c>
      <c r="F95" s="584" t="s">
        <v>609</v>
      </c>
      <c r="G95" s="96" t="s">
        <v>743</v>
      </c>
    </row>
    <row r="96" spans="5:7" ht="17.25">
      <c r="E96" s="288"/>
      <c r="F96" s="584"/>
      <c r="G96" s="96" t="s">
        <v>740</v>
      </c>
    </row>
    <row r="97" ht="17.25">
      <c r="G97" s="96" t="s">
        <v>762</v>
      </c>
    </row>
    <row r="98" ht="17.25">
      <c r="G98" s="96" t="s">
        <v>714</v>
      </c>
    </row>
    <row r="99" ht="17.25">
      <c r="G99" s="96" t="s">
        <v>781</v>
      </c>
    </row>
    <row r="100" ht="17.25">
      <c r="G100" s="96" t="s">
        <v>789</v>
      </c>
    </row>
    <row r="101" spans="5:7" ht="17.25">
      <c r="E101" s="288" t="s">
        <v>610</v>
      </c>
      <c r="F101" s="584" t="s">
        <v>1187</v>
      </c>
      <c r="G101" s="96" t="s">
        <v>798</v>
      </c>
    </row>
    <row r="102" spans="6:7" ht="17.25">
      <c r="F102" s="96"/>
      <c r="G102" s="96" t="s">
        <v>688</v>
      </c>
    </row>
    <row r="103" ht="17.25">
      <c r="G103" s="96" t="s">
        <v>1116</v>
      </c>
    </row>
    <row r="104" ht="17.25">
      <c r="G104" s="96" t="s">
        <v>755</v>
      </c>
    </row>
    <row r="124" spans="11:12" ht="17.25">
      <c r="K124" s="286" t="s">
        <v>393</v>
      </c>
      <c r="L124" s="287" t="s">
        <v>398</v>
      </c>
    </row>
    <row r="125" spans="2:12" ht="18">
      <c r="B125" s="420"/>
      <c r="G125" s="133"/>
      <c r="H125" s="227"/>
      <c r="K125" s="286" t="s">
        <v>395</v>
      </c>
      <c r="L125" s="287" t="s">
        <v>400</v>
      </c>
    </row>
    <row r="126" spans="11:12" ht="17.25">
      <c r="K126" s="286" t="s">
        <v>397</v>
      </c>
      <c r="L126" s="287" t="s">
        <v>403</v>
      </c>
    </row>
    <row r="127" spans="11:12" ht="17.25">
      <c r="K127" s="286" t="s">
        <v>399</v>
      </c>
      <c r="L127" s="287" t="s">
        <v>408</v>
      </c>
    </row>
    <row r="128" spans="11:12" ht="17.25">
      <c r="K128" s="286" t="s">
        <v>402</v>
      </c>
      <c r="L128" s="287" t="s">
        <v>603</v>
      </c>
    </row>
    <row r="129" spans="11:12" ht="17.25">
      <c r="K129" s="286" t="s">
        <v>604</v>
      </c>
      <c r="L129" s="287" t="s">
        <v>605</v>
      </c>
    </row>
    <row r="130" spans="11:12" ht="17.25">
      <c r="K130" s="133"/>
      <c r="L130" s="223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60" zoomScaleNormal="60" zoomScalePageLayoutView="0" workbookViewId="0" topLeftCell="C4">
      <selection activeCell="R28" sqref="R28"/>
    </sheetView>
  </sheetViews>
  <sheetFormatPr defaultColWidth="7.69921875" defaultRowHeight="15"/>
  <cols>
    <col min="1" max="2" width="5.796875" style="352" customWidth="1"/>
    <col min="3" max="4" width="9.796875" style="352" customWidth="1"/>
    <col min="5" max="7" width="5.796875" style="352" customWidth="1"/>
    <col min="8" max="8" width="25.796875" style="352" customWidth="1"/>
    <col min="9" max="9" width="2.796875" style="352" customWidth="1"/>
    <col min="10" max="10" width="25.796875" style="352" customWidth="1"/>
    <col min="11" max="14" width="9.796875" style="353" customWidth="1"/>
    <col min="15" max="15" width="15.796875" style="352" customWidth="1"/>
    <col min="16" max="16" width="5.796875" style="139" customWidth="1"/>
    <col min="17" max="17" width="8.796875" style="139" customWidth="1"/>
    <col min="18" max="18" width="20.796875" style="139" customWidth="1"/>
    <col min="19" max="24" width="5.796875" style="139" customWidth="1"/>
    <col min="25" max="25" width="8.796875" style="139" customWidth="1"/>
    <col min="26" max="26" width="20.796875" style="139" customWidth="1"/>
    <col min="27" max="30" width="5.796875" style="139" customWidth="1"/>
    <col min="31" max="16384" width="7.69921875" style="352" customWidth="1"/>
  </cols>
  <sheetData>
    <row r="1" spans="2:14" ht="25.5">
      <c r="B1" s="355" t="s">
        <v>870</v>
      </c>
      <c r="D1" s="356"/>
      <c r="E1" s="421"/>
      <c r="F1" s="357"/>
      <c r="G1" s="356"/>
      <c r="H1" s="422"/>
      <c r="I1" s="357"/>
      <c r="J1" s="357"/>
      <c r="K1" s="356"/>
      <c r="L1" s="356"/>
      <c r="M1" s="356"/>
      <c r="N1" s="356"/>
    </row>
    <row r="2" spans="2:14" ht="25.5">
      <c r="B2" s="145" t="s">
        <v>871</v>
      </c>
      <c r="D2" s="356"/>
      <c r="E2" s="421"/>
      <c r="F2" s="357"/>
      <c r="G2" s="356"/>
      <c r="H2" s="422"/>
      <c r="I2" s="357"/>
      <c r="J2" s="357"/>
      <c r="K2" s="356"/>
      <c r="L2" s="356"/>
      <c r="M2" s="356"/>
      <c r="N2" s="356"/>
    </row>
    <row r="3" spans="2:14" ht="18.75" customHeight="1">
      <c r="B3" s="139"/>
      <c r="C3" s="146"/>
      <c r="D3" s="146"/>
      <c r="E3" s="146"/>
      <c r="F3" s="146"/>
      <c r="G3" s="359"/>
      <c r="H3" s="616" t="s">
        <v>413</v>
      </c>
      <c r="I3" s="616"/>
      <c r="J3" s="616"/>
      <c r="K3" s="148" t="s">
        <v>414</v>
      </c>
      <c r="L3" s="148" t="s">
        <v>415</v>
      </c>
      <c r="M3" s="148" t="s">
        <v>415</v>
      </c>
      <c r="N3" s="148" t="s">
        <v>414</v>
      </c>
    </row>
    <row r="4" spans="1:14" ht="18.75" customHeight="1">
      <c r="A4" s="423"/>
      <c r="B4" s="151"/>
      <c r="C4" s="155" t="s">
        <v>416</v>
      </c>
      <c r="D4" s="424" t="s">
        <v>422</v>
      </c>
      <c r="E4" s="148"/>
      <c r="F4" s="152" t="s">
        <v>418</v>
      </c>
      <c r="G4" s="148"/>
      <c r="H4" s="425" t="s">
        <v>419</v>
      </c>
      <c r="I4" s="426"/>
      <c r="J4" s="425" t="s">
        <v>420</v>
      </c>
      <c r="K4" s="148"/>
      <c r="L4" s="148"/>
      <c r="M4" s="148"/>
      <c r="N4" s="148"/>
    </row>
    <row r="5" spans="1:14" ht="18.75" customHeight="1">
      <c r="A5" s="423"/>
      <c r="B5" s="185"/>
      <c r="C5" s="427" t="s">
        <v>421</v>
      </c>
      <c r="D5" s="428" t="s">
        <v>809</v>
      </c>
      <c r="E5" s="429"/>
      <c r="F5" s="361" t="s">
        <v>413</v>
      </c>
      <c r="G5" s="361"/>
      <c r="H5" s="401" t="s">
        <v>51</v>
      </c>
      <c r="I5" s="402"/>
      <c r="J5" s="401" t="s">
        <v>51</v>
      </c>
      <c r="K5" s="148"/>
      <c r="L5" s="148"/>
      <c r="M5" s="148"/>
      <c r="N5" s="148"/>
    </row>
    <row r="6" spans="2:30" ht="18.75" customHeight="1">
      <c r="B6" s="430">
        <v>1</v>
      </c>
      <c r="C6" s="387" t="s">
        <v>423</v>
      </c>
      <c r="D6" s="383">
        <v>1</v>
      </c>
      <c r="E6" s="384" t="s">
        <v>117</v>
      </c>
      <c r="F6" s="371" t="s">
        <v>424</v>
      </c>
      <c r="G6" s="372" t="s">
        <v>383</v>
      </c>
      <c r="H6" s="158" t="str">
        <f>VLOOKUP(E6,WD!$C$6:$K$46,3,FALSE)</f>
        <v>奸巴爹</v>
      </c>
      <c r="I6" s="171" t="s">
        <v>424</v>
      </c>
      <c r="J6" s="158" t="str">
        <f>WD!L49</f>
        <v>嗯</v>
      </c>
      <c r="K6" s="172">
        <v>1</v>
      </c>
      <c r="L6" s="158">
        <f>21+21</f>
        <v>42</v>
      </c>
      <c r="M6" s="158">
        <f>13+23</f>
        <v>36</v>
      </c>
      <c r="N6" s="158">
        <v>1</v>
      </c>
      <c r="O6" s="352" t="s">
        <v>872</v>
      </c>
      <c r="P6" s="525" t="s">
        <v>423</v>
      </c>
      <c r="Q6" s="525" t="s">
        <v>426</v>
      </c>
      <c r="R6" s="525" t="s">
        <v>50</v>
      </c>
      <c r="S6" s="525" t="s">
        <v>427</v>
      </c>
      <c r="T6" s="525" t="s">
        <v>428</v>
      </c>
      <c r="U6" s="525" t="s">
        <v>429</v>
      </c>
      <c r="V6" s="525" t="s">
        <v>61</v>
      </c>
      <c r="W6" s="525"/>
      <c r="X6" s="525" t="s">
        <v>460</v>
      </c>
      <c r="Y6" s="525" t="s">
        <v>426</v>
      </c>
      <c r="Z6" s="525" t="s">
        <v>50</v>
      </c>
      <c r="AA6" s="525" t="s">
        <v>427</v>
      </c>
      <c r="AB6" s="525" t="s">
        <v>428</v>
      </c>
      <c r="AC6" s="525" t="s">
        <v>429</v>
      </c>
      <c r="AD6" s="525" t="s">
        <v>61</v>
      </c>
    </row>
    <row r="7" spans="2:30" ht="18.75" customHeight="1">
      <c r="B7" s="431">
        <v>2</v>
      </c>
      <c r="C7" s="387" t="s">
        <v>423</v>
      </c>
      <c r="D7" s="383">
        <v>2</v>
      </c>
      <c r="E7" s="384" t="s">
        <v>209</v>
      </c>
      <c r="F7" s="371" t="s">
        <v>424</v>
      </c>
      <c r="G7" s="372" t="s">
        <v>215</v>
      </c>
      <c r="H7" s="158" t="str">
        <f>VLOOKUP(E7,WD!$C$6:$K$46,3,FALSE)</f>
        <v>麥桃團</v>
      </c>
      <c r="I7" s="171" t="s">
        <v>424</v>
      </c>
      <c r="J7" s="158" t="str">
        <f>VLOOKUP(G7,WD!$C$6:$K$46,3,FALSE)</f>
        <v>Ga.me Ti.me</v>
      </c>
      <c r="K7" s="172">
        <v>1</v>
      </c>
      <c r="L7" s="158">
        <f>9+21</f>
        <v>30</v>
      </c>
      <c r="M7" s="158">
        <f>21+15</f>
        <v>36</v>
      </c>
      <c r="N7" s="158">
        <v>1</v>
      </c>
      <c r="O7" s="352" t="s">
        <v>873</v>
      </c>
      <c r="P7" s="525"/>
      <c r="Q7" s="526">
        <v>1</v>
      </c>
      <c r="R7" s="527" t="s">
        <v>654</v>
      </c>
      <c r="S7" s="527">
        <v>2</v>
      </c>
      <c r="T7" s="527">
        <v>1</v>
      </c>
      <c r="U7" s="527">
        <v>0</v>
      </c>
      <c r="V7" s="527">
        <f>S7*3+T7*1+U7*0</f>
        <v>7</v>
      </c>
      <c r="W7" s="528"/>
      <c r="X7" s="525"/>
      <c r="Y7" s="527">
        <v>1</v>
      </c>
      <c r="Z7" s="527" t="s">
        <v>659</v>
      </c>
      <c r="AA7" s="527">
        <v>2</v>
      </c>
      <c r="AB7" s="527">
        <v>1</v>
      </c>
      <c r="AC7" s="527">
        <v>0</v>
      </c>
      <c r="AD7" s="527">
        <f>AA7*3+AB7*1+AC7*0</f>
        <v>7</v>
      </c>
    </row>
    <row r="8" spans="2:30" ht="18.75" customHeight="1">
      <c r="B8" s="430">
        <v>3</v>
      </c>
      <c r="C8" s="387" t="s">
        <v>423</v>
      </c>
      <c r="D8" s="383">
        <v>3</v>
      </c>
      <c r="E8" s="384" t="s">
        <v>117</v>
      </c>
      <c r="F8" s="371" t="s">
        <v>424</v>
      </c>
      <c r="G8" s="372" t="s">
        <v>215</v>
      </c>
      <c r="H8" s="158" t="str">
        <f>VLOOKUP(E8,WD!$C$6:$K$46,3,FALSE)</f>
        <v>奸巴爹</v>
      </c>
      <c r="I8" s="171" t="s">
        <v>424</v>
      </c>
      <c r="J8" s="158" t="str">
        <f>VLOOKUP(G8,WD!$C$6:$K$46,3,FALSE)</f>
        <v>Ga.me Ti.me</v>
      </c>
      <c r="K8" s="172">
        <v>2</v>
      </c>
      <c r="L8" s="158">
        <f>21+21</f>
        <v>42</v>
      </c>
      <c r="M8" s="158">
        <f>12+5</f>
        <v>17</v>
      </c>
      <c r="N8" s="158">
        <v>0</v>
      </c>
      <c r="O8" s="352" t="s">
        <v>874</v>
      </c>
      <c r="P8" s="525"/>
      <c r="Q8" s="527">
        <v>2</v>
      </c>
      <c r="R8" s="527" t="s">
        <v>751</v>
      </c>
      <c r="S8" s="527">
        <v>1</v>
      </c>
      <c r="T8" s="527">
        <v>2</v>
      </c>
      <c r="U8" s="527">
        <v>0</v>
      </c>
      <c r="V8" s="527">
        <f>S8*3+T8*1+U8*0</f>
        <v>5</v>
      </c>
      <c r="W8" s="528"/>
      <c r="X8" s="525"/>
      <c r="Y8" s="527">
        <v>2</v>
      </c>
      <c r="Z8" s="527" t="s">
        <v>747</v>
      </c>
      <c r="AA8" s="527">
        <v>1</v>
      </c>
      <c r="AB8" s="527">
        <v>2</v>
      </c>
      <c r="AC8" s="527">
        <v>0</v>
      </c>
      <c r="AD8" s="527">
        <f>AA8*3+AB8*1+AC8*0</f>
        <v>5</v>
      </c>
    </row>
    <row r="9" spans="2:30" ht="18.75" customHeight="1">
      <c r="B9" s="431">
        <v>4</v>
      </c>
      <c r="C9" s="387" t="s">
        <v>423</v>
      </c>
      <c r="D9" s="383">
        <v>4</v>
      </c>
      <c r="E9" s="384" t="s">
        <v>209</v>
      </c>
      <c r="F9" s="371" t="s">
        <v>424</v>
      </c>
      <c r="G9" s="372" t="s">
        <v>383</v>
      </c>
      <c r="H9" s="158" t="str">
        <f>VLOOKUP(E9,WD!$C$6:$K$46,3,FALSE)</f>
        <v>麥桃團</v>
      </c>
      <c r="I9" s="171" t="s">
        <v>424</v>
      </c>
      <c r="J9" s="158" t="str">
        <f>WD!L49</f>
        <v>嗯</v>
      </c>
      <c r="K9" s="172">
        <v>0</v>
      </c>
      <c r="L9" s="158">
        <f>12+15</f>
        <v>27</v>
      </c>
      <c r="M9" s="158">
        <f>21+21</f>
        <v>42</v>
      </c>
      <c r="N9" s="158">
        <v>2</v>
      </c>
      <c r="O9" s="352" t="s">
        <v>875</v>
      </c>
      <c r="P9" s="525"/>
      <c r="Q9" s="527">
        <v>3</v>
      </c>
      <c r="R9" s="526" t="s">
        <v>876</v>
      </c>
      <c r="S9" s="527">
        <v>0</v>
      </c>
      <c r="T9" s="527">
        <v>2</v>
      </c>
      <c r="U9" s="527">
        <v>1</v>
      </c>
      <c r="V9" s="527">
        <f>S9*3+T9*1+U9*0</f>
        <v>2</v>
      </c>
      <c r="W9" s="528"/>
      <c r="X9" s="525"/>
      <c r="Y9" s="527">
        <v>3</v>
      </c>
      <c r="Z9" s="526" t="s">
        <v>723</v>
      </c>
      <c r="AA9" s="527">
        <v>1</v>
      </c>
      <c r="AB9" s="527">
        <v>1</v>
      </c>
      <c r="AC9" s="527">
        <v>1</v>
      </c>
      <c r="AD9" s="527">
        <f>AA9*3+AB9*1+AC9*0</f>
        <v>4</v>
      </c>
    </row>
    <row r="10" spans="2:30" ht="18.75" customHeight="1">
      <c r="B10" s="430">
        <v>5</v>
      </c>
      <c r="C10" s="387" t="s">
        <v>423</v>
      </c>
      <c r="D10" s="383">
        <v>5</v>
      </c>
      <c r="E10" s="384" t="s">
        <v>215</v>
      </c>
      <c r="F10" s="371" t="s">
        <v>424</v>
      </c>
      <c r="G10" s="372" t="s">
        <v>383</v>
      </c>
      <c r="H10" s="158" t="str">
        <f>VLOOKUP(E10,WD!$C$6:$K$46,3,FALSE)</f>
        <v>Ga.me Ti.me</v>
      </c>
      <c r="I10" s="171" t="s">
        <v>424</v>
      </c>
      <c r="J10" s="158" t="str">
        <f>WD!L49</f>
        <v>嗯</v>
      </c>
      <c r="K10" s="172">
        <v>1</v>
      </c>
      <c r="L10" s="158">
        <f>21+18</f>
        <v>39</v>
      </c>
      <c r="M10" s="158">
        <f>19+21</f>
        <v>40</v>
      </c>
      <c r="N10" s="158">
        <v>1</v>
      </c>
      <c r="O10" s="352" t="s">
        <v>1121</v>
      </c>
      <c r="P10" s="525"/>
      <c r="Q10" s="527">
        <v>4</v>
      </c>
      <c r="R10" s="527" t="s">
        <v>743</v>
      </c>
      <c r="S10" s="527">
        <v>0</v>
      </c>
      <c r="T10" s="527">
        <v>1</v>
      </c>
      <c r="U10" s="527">
        <v>2</v>
      </c>
      <c r="V10" s="527">
        <f>S10*3+T10*1+U10*0</f>
        <v>1</v>
      </c>
      <c r="W10" s="528"/>
      <c r="X10" s="525"/>
      <c r="Y10" s="527">
        <v>4</v>
      </c>
      <c r="Z10" s="529" t="s">
        <v>740</v>
      </c>
      <c r="AA10" s="527">
        <v>0</v>
      </c>
      <c r="AB10" s="527">
        <v>0</v>
      </c>
      <c r="AC10" s="527">
        <v>3</v>
      </c>
      <c r="AD10" s="527">
        <f>AA10*3+AB10*1+AC10*0</f>
        <v>0</v>
      </c>
    </row>
    <row r="11" spans="2:30" ht="18.75" customHeight="1">
      <c r="B11" s="430">
        <v>6</v>
      </c>
      <c r="C11" s="376" t="s">
        <v>423</v>
      </c>
      <c r="D11" s="377">
        <v>6</v>
      </c>
      <c r="E11" s="386" t="s">
        <v>117</v>
      </c>
      <c r="F11" s="378" t="s">
        <v>424</v>
      </c>
      <c r="G11" s="378" t="s">
        <v>209</v>
      </c>
      <c r="H11" s="158" t="str">
        <f>VLOOKUP(E11,WD!$C$6:$K$46,3,FALSE)</f>
        <v>奸巴爹</v>
      </c>
      <c r="I11" s="171" t="s">
        <v>424</v>
      </c>
      <c r="J11" s="158" t="str">
        <f>VLOOKUP(G11,WD!$C$6:$K$46,3,FALSE)</f>
        <v>麥桃團</v>
      </c>
      <c r="K11" s="172">
        <v>2</v>
      </c>
      <c r="L11" s="158">
        <f>21+21</f>
        <v>42</v>
      </c>
      <c r="M11" s="158">
        <f>13+16</f>
        <v>29</v>
      </c>
      <c r="N11" s="158">
        <v>0</v>
      </c>
      <c r="O11" s="352" t="s">
        <v>892</v>
      </c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</row>
    <row r="12" spans="2:30" ht="18.75" customHeight="1">
      <c r="B12" s="431">
        <v>7</v>
      </c>
      <c r="C12" s="387" t="s">
        <v>460</v>
      </c>
      <c r="D12" s="365">
        <v>1</v>
      </c>
      <c r="E12" s="366" t="s">
        <v>123</v>
      </c>
      <c r="F12" s="366" t="s">
        <v>424</v>
      </c>
      <c r="G12" s="366" t="s">
        <v>750</v>
      </c>
      <c r="H12" s="158" t="str">
        <f>VLOOKUP(E12,WD!$C$6:$K$46,3,FALSE)</f>
        <v>贏粒糖</v>
      </c>
      <c r="I12" s="171" t="s">
        <v>424</v>
      </c>
      <c r="J12" s="158" t="str">
        <f>VLOOKUP(G12,WD!$C$6:$K$46,3,FALSE)</f>
        <v>黑媽媽</v>
      </c>
      <c r="K12" s="172">
        <v>1</v>
      </c>
      <c r="L12" s="158">
        <f>17+21</f>
        <v>38</v>
      </c>
      <c r="M12" s="158">
        <f>21+6</f>
        <v>27</v>
      </c>
      <c r="N12" s="158">
        <v>1</v>
      </c>
      <c r="O12" s="352" t="s">
        <v>877</v>
      </c>
      <c r="P12" s="525"/>
      <c r="Q12" s="525" t="s">
        <v>426</v>
      </c>
      <c r="R12" s="525" t="s">
        <v>50</v>
      </c>
      <c r="S12" s="525" t="s">
        <v>427</v>
      </c>
      <c r="T12" s="525" t="s">
        <v>428</v>
      </c>
      <c r="U12" s="525" t="s">
        <v>429</v>
      </c>
      <c r="V12" s="525" t="s">
        <v>61</v>
      </c>
      <c r="W12" s="525"/>
      <c r="X12" s="525"/>
      <c r="Y12" s="525" t="s">
        <v>426</v>
      </c>
      <c r="Z12" s="525" t="s">
        <v>50</v>
      </c>
      <c r="AA12" s="525" t="s">
        <v>427</v>
      </c>
      <c r="AB12" s="525" t="s">
        <v>428</v>
      </c>
      <c r="AC12" s="525" t="s">
        <v>429</v>
      </c>
      <c r="AD12" s="525" t="s">
        <v>61</v>
      </c>
    </row>
    <row r="13" spans="2:30" ht="18.75" customHeight="1">
      <c r="B13" s="430">
        <v>8</v>
      </c>
      <c r="C13" s="369" t="s">
        <v>460</v>
      </c>
      <c r="D13" s="370">
        <v>2</v>
      </c>
      <c r="E13" s="371" t="s">
        <v>203</v>
      </c>
      <c r="F13" s="371" t="s">
        <v>424</v>
      </c>
      <c r="G13" s="372" t="s">
        <v>220</v>
      </c>
      <c r="H13" s="158" t="str">
        <f>VLOOKUP(E13,WD!$C$6:$K$46,3,FALSE)</f>
        <v>ACE</v>
      </c>
      <c r="I13" s="171" t="s">
        <v>424</v>
      </c>
      <c r="J13" s="158" t="str">
        <f>VLOOKUP(G13,WD!$C$6:$K$46,3,FALSE)</f>
        <v>珈蔚</v>
      </c>
      <c r="K13" s="172">
        <v>2</v>
      </c>
      <c r="L13" s="158">
        <f aca="true" t="shared" si="0" ref="L13:L19">21+21</f>
        <v>42</v>
      </c>
      <c r="M13" s="158">
        <f>7+14</f>
        <v>21</v>
      </c>
      <c r="N13" s="158">
        <v>0</v>
      </c>
      <c r="O13" s="352" t="s">
        <v>878</v>
      </c>
      <c r="P13" s="525" t="s">
        <v>461</v>
      </c>
      <c r="Q13" s="527">
        <v>1</v>
      </c>
      <c r="R13" s="527">
        <v>1442</v>
      </c>
      <c r="S13" s="527">
        <v>3</v>
      </c>
      <c r="T13" s="527">
        <v>0</v>
      </c>
      <c r="U13" s="527">
        <v>0</v>
      </c>
      <c r="V13" s="527">
        <f>S13*3+T13*1+U13*0</f>
        <v>9</v>
      </c>
      <c r="W13" s="528"/>
      <c r="X13" s="525" t="s">
        <v>462</v>
      </c>
      <c r="Y13" s="527">
        <v>1</v>
      </c>
      <c r="Z13" s="527" t="s">
        <v>727</v>
      </c>
      <c r="AA13" s="527">
        <v>3</v>
      </c>
      <c r="AB13" s="527">
        <v>0</v>
      </c>
      <c r="AC13" s="527">
        <v>0</v>
      </c>
      <c r="AD13" s="527">
        <f>AA13*3+AB13*1+AC13*0</f>
        <v>9</v>
      </c>
    </row>
    <row r="14" spans="2:30" ht="18.75" customHeight="1">
      <c r="B14" s="431">
        <v>9</v>
      </c>
      <c r="C14" s="369" t="s">
        <v>460</v>
      </c>
      <c r="D14" s="370">
        <v>3</v>
      </c>
      <c r="E14" s="371" t="s">
        <v>123</v>
      </c>
      <c r="F14" s="371" t="s">
        <v>424</v>
      </c>
      <c r="G14" s="372" t="s">
        <v>220</v>
      </c>
      <c r="H14" s="158" t="str">
        <f>VLOOKUP(E14,WD!$C$6:$K$46,3,FALSE)</f>
        <v>贏粒糖</v>
      </c>
      <c r="I14" s="171" t="s">
        <v>424</v>
      </c>
      <c r="J14" s="158" t="str">
        <f>VLOOKUP(G14,WD!$C$6:$K$46,3,FALSE)</f>
        <v>珈蔚</v>
      </c>
      <c r="K14" s="172">
        <v>2</v>
      </c>
      <c r="L14" s="158">
        <f t="shared" si="0"/>
        <v>42</v>
      </c>
      <c r="M14" s="158">
        <f>5+6</f>
        <v>11</v>
      </c>
      <c r="N14" s="158">
        <v>0</v>
      </c>
      <c r="O14" s="352" t="s">
        <v>879</v>
      </c>
      <c r="P14" s="525"/>
      <c r="Q14" s="527">
        <v>2</v>
      </c>
      <c r="R14" s="527" t="s">
        <v>663</v>
      </c>
      <c r="S14" s="527">
        <v>1</v>
      </c>
      <c r="T14" s="527">
        <v>1</v>
      </c>
      <c r="U14" s="527">
        <v>1</v>
      </c>
      <c r="V14" s="527">
        <f>S14*3+T14*1+U14*0</f>
        <v>4</v>
      </c>
      <c r="W14" s="528"/>
      <c r="X14" s="525"/>
      <c r="Y14" s="527">
        <v>2</v>
      </c>
      <c r="Z14" s="527" t="s">
        <v>1106</v>
      </c>
      <c r="AA14" s="527">
        <v>2</v>
      </c>
      <c r="AB14" s="527">
        <v>0</v>
      </c>
      <c r="AC14" s="527">
        <v>1</v>
      </c>
      <c r="AD14" s="527">
        <f>AA14*3+AB14*1+AC14*0</f>
        <v>6</v>
      </c>
    </row>
    <row r="15" spans="2:30" ht="18.75" customHeight="1">
      <c r="B15" s="430">
        <v>10</v>
      </c>
      <c r="C15" s="369" t="s">
        <v>460</v>
      </c>
      <c r="D15" s="370">
        <v>4</v>
      </c>
      <c r="E15" s="371" t="s">
        <v>203</v>
      </c>
      <c r="F15" s="371" t="s">
        <v>424</v>
      </c>
      <c r="G15" s="372" t="s">
        <v>750</v>
      </c>
      <c r="H15" s="158" t="str">
        <f>VLOOKUP(E15,WD!$C$6:$K$46,3,FALSE)</f>
        <v>ACE</v>
      </c>
      <c r="I15" s="171" t="s">
        <v>424</v>
      </c>
      <c r="J15" s="158" t="str">
        <f>VLOOKUP(G15,WD!$C$6:$K$46,3,FALSE)</f>
        <v>黑媽媽</v>
      </c>
      <c r="K15" s="172">
        <v>1</v>
      </c>
      <c r="L15" s="158">
        <f t="shared" si="0"/>
        <v>42</v>
      </c>
      <c r="M15" s="158">
        <f>17+23</f>
        <v>40</v>
      </c>
      <c r="N15" s="158">
        <v>1</v>
      </c>
      <c r="O15" s="352" t="s">
        <v>880</v>
      </c>
      <c r="P15" s="525"/>
      <c r="Q15" s="527">
        <v>3</v>
      </c>
      <c r="R15" s="526" t="s">
        <v>772</v>
      </c>
      <c r="S15" s="527">
        <v>1</v>
      </c>
      <c r="T15" s="527">
        <v>1</v>
      </c>
      <c r="U15" s="527">
        <v>1</v>
      </c>
      <c r="V15" s="527">
        <f>S15*3+T15*1+U15*0</f>
        <v>4</v>
      </c>
      <c r="W15" s="528"/>
      <c r="X15" s="525"/>
      <c r="Y15" s="527">
        <v>3</v>
      </c>
      <c r="Z15" s="527" t="s">
        <v>735</v>
      </c>
      <c r="AA15" s="527">
        <v>1</v>
      </c>
      <c r="AB15" s="527">
        <v>0</v>
      </c>
      <c r="AC15" s="527">
        <v>2</v>
      </c>
      <c r="AD15" s="527">
        <f>AA15*3+AB15*1+AC15*0</f>
        <v>3</v>
      </c>
    </row>
    <row r="16" spans="2:30" ht="18.75" customHeight="1">
      <c r="B16" s="430">
        <v>11</v>
      </c>
      <c r="C16" s="369" t="s">
        <v>460</v>
      </c>
      <c r="D16" s="370">
        <v>5</v>
      </c>
      <c r="E16" s="371" t="s">
        <v>220</v>
      </c>
      <c r="F16" s="371" t="s">
        <v>424</v>
      </c>
      <c r="G16" s="372" t="s">
        <v>750</v>
      </c>
      <c r="H16" s="158" t="str">
        <f>VLOOKUP(E16,WD!$C$6:$K$46,3,FALSE)</f>
        <v>珈蔚</v>
      </c>
      <c r="I16" s="171" t="s">
        <v>424</v>
      </c>
      <c r="J16" s="158" t="str">
        <f>VLOOKUP(G16,WD!$C$6:$K$46,3,FALSE)</f>
        <v>黑媽媽</v>
      </c>
      <c r="K16" s="172">
        <v>0</v>
      </c>
      <c r="L16" s="158">
        <f>8+6</f>
        <v>14</v>
      </c>
      <c r="M16" s="158">
        <f>21+21</f>
        <v>42</v>
      </c>
      <c r="N16" s="158">
        <v>0</v>
      </c>
      <c r="O16" s="352" t="s">
        <v>1141</v>
      </c>
      <c r="P16" s="525"/>
      <c r="Q16" s="527">
        <v>4</v>
      </c>
      <c r="R16" s="526" t="s">
        <v>762</v>
      </c>
      <c r="S16" s="527">
        <v>0</v>
      </c>
      <c r="T16" s="527">
        <v>0</v>
      </c>
      <c r="U16" s="527">
        <v>3</v>
      </c>
      <c r="V16" s="527">
        <f>S16*3+T16*1+U16*0</f>
        <v>0</v>
      </c>
      <c r="W16" s="528"/>
      <c r="X16" s="525"/>
      <c r="Y16" s="527">
        <v>4</v>
      </c>
      <c r="Z16" s="526" t="s">
        <v>714</v>
      </c>
      <c r="AA16" s="527">
        <v>0</v>
      </c>
      <c r="AB16" s="527">
        <v>0</v>
      </c>
      <c r="AC16" s="527">
        <v>3</v>
      </c>
      <c r="AD16" s="527">
        <f>AA16*3+AB16*1+AC16*0</f>
        <v>0</v>
      </c>
    </row>
    <row r="17" spans="2:30" ht="18.75" customHeight="1">
      <c r="B17" s="431">
        <v>12</v>
      </c>
      <c r="C17" s="376" t="s">
        <v>460</v>
      </c>
      <c r="D17" s="377">
        <v>6</v>
      </c>
      <c r="E17" s="378" t="s">
        <v>123</v>
      </c>
      <c r="F17" s="378" t="s">
        <v>424</v>
      </c>
      <c r="G17" s="378" t="s">
        <v>203</v>
      </c>
      <c r="H17" s="158" t="str">
        <f>VLOOKUP(E17,WD!$C$6:$K$46,3,FALSE)</f>
        <v>贏粒糖</v>
      </c>
      <c r="I17" s="171" t="s">
        <v>424</v>
      </c>
      <c r="J17" s="158" t="str">
        <f>VLOOKUP(G17,WD!$C$6:$K$46,3,FALSE)</f>
        <v>ACE</v>
      </c>
      <c r="K17" s="172">
        <v>2</v>
      </c>
      <c r="L17" s="158">
        <f t="shared" si="0"/>
        <v>42</v>
      </c>
      <c r="M17" s="158">
        <f>19+13</f>
        <v>32</v>
      </c>
      <c r="N17" s="158">
        <v>0</v>
      </c>
      <c r="O17" s="352" t="s">
        <v>1122</v>
      </c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</row>
    <row r="18" spans="2:30" ht="18.75" customHeight="1">
      <c r="B18" s="430">
        <v>13</v>
      </c>
      <c r="C18" s="364" t="s">
        <v>461</v>
      </c>
      <c r="D18" s="383">
        <v>1</v>
      </c>
      <c r="E18" s="363" t="s">
        <v>129</v>
      </c>
      <c r="F18" s="366" t="s">
        <v>424</v>
      </c>
      <c r="G18" s="366" t="s">
        <v>766</v>
      </c>
      <c r="H18" s="158" t="str">
        <f>VLOOKUP(E18,WD!$C$6:$K$46,3,FALSE)</f>
        <v>大細波</v>
      </c>
      <c r="I18" s="171" t="s">
        <v>424</v>
      </c>
      <c r="J18" s="158" t="str">
        <f>VLOOKUP(G18,WD!$C$6:$K$46,3,FALSE)</f>
        <v>HAHA</v>
      </c>
      <c r="K18" s="172">
        <v>2</v>
      </c>
      <c r="L18" s="158">
        <f t="shared" si="0"/>
        <v>42</v>
      </c>
      <c r="M18" s="158">
        <f>9+12</f>
        <v>21</v>
      </c>
      <c r="N18" s="158">
        <v>0</v>
      </c>
      <c r="O18" s="352" t="s">
        <v>881</v>
      </c>
      <c r="P18" s="530"/>
      <c r="Q18" s="525" t="s">
        <v>426</v>
      </c>
      <c r="R18" s="525" t="s">
        <v>50</v>
      </c>
      <c r="S18" s="525" t="s">
        <v>427</v>
      </c>
      <c r="T18" s="525" t="s">
        <v>428</v>
      </c>
      <c r="U18" s="525" t="s">
        <v>429</v>
      </c>
      <c r="V18" s="525" t="s">
        <v>61</v>
      </c>
      <c r="W18" s="525"/>
      <c r="X18" s="530"/>
      <c r="Y18" s="525" t="s">
        <v>426</v>
      </c>
      <c r="Z18" s="525" t="s">
        <v>50</v>
      </c>
      <c r="AA18" s="525" t="s">
        <v>427</v>
      </c>
      <c r="AB18" s="525" t="s">
        <v>428</v>
      </c>
      <c r="AC18" s="525" t="s">
        <v>429</v>
      </c>
      <c r="AD18" s="525">
        <v>2</v>
      </c>
    </row>
    <row r="19" spans="2:30" ht="18.75" customHeight="1">
      <c r="B19" s="431">
        <v>14</v>
      </c>
      <c r="C19" s="369" t="s">
        <v>461</v>
      </c>
      <c r="D19" s="383">
        <v>2</v>
      </c>
      <c r="E19" s="384" t="s">
        <v>197</v>
      </c>
      <c r="F19" s="371" t="s">
        <v>424</v>
      </c>
      <c r="G19" s="372" t="s">
        <v>226</v>
      </c>
      <c r="H19" s="158">
        <f>VLOOKUP(E19,WD!$C$6:$K$46,3,FALSE)</f>
        <v>1442</v>
      </c>
      <c r="I19" s="171" t="s">
        <v>424</v>
      </c>
      <c r="J19" s="158" t="str">
        <f>VLOOKUP(G19,WD!$C$6:$K$46,3,FALSE)</f>
        <v>ME</v>
      </c>
      <c r="K19" s="172">
        <v>2</v>
      </c>
      <c r="L19" s="158">
        <f t="shared" si="0"/>
        <v>42</v>
      </c>
      <c r="M19" s="158">
        <f>18+16</f>
        <v>34</v>
      </c>
      <c r="N19" s="158">
        <v>0</v>
      </c>
      <c r="O19" s="352" t="s">
        <v>882</v>
      </c>
      <c r="P19" s="531" t="s">
        <v>463</v>
      </c>
      <c r="Q19" s="527">
        <v>1</v>
      </c>
      <c r="R19" s="527" t="s">
        <v>673</v>
      </c>
      <c r="S19" s="527">
        <v>2</v>
      </c>
      <c r="T19" s="527">
        <v>0</v>
      </c>
      <c r="U19" s="527">
        <v>1</v>
      </c>
      <c r="V19" s="527">
        <f>S19*3+T19*1+U19*0</f>
        <v>6</v>
      </c>
      <c r="W19" s="528"/>
      <c r="X19" s="531" t="s">
        <v>464</v>
      </c>
      <c r="Y19" s="527">
        <v>1</v>
      </c>
      <c r="Z19" s="527" t="s">
        <v>678</v>
      </c>
      <c r="AA19" s="527">
        <v>2</v>
      </c>
      <c r="AB19" s="527">
        <v>1</v>
      </c>
      <c r="AC19" s="527">
        <v>0</v>
      </c>
      <c r="AD19" s="527">
        <f>AA19*3+AB19*1+AC19*0</f>
        <v>7</v>
      </c>
    </row>
    <row r="20" spans="2:30" ht="18.75" customHeight="1">
      <c r="B20" s="430">
        <v>15</v>
      </c>
      <c r="C20" s="369" t="s">
        <v>461</v>
      </c>
      <c r="D20" s="383">
        <v>3</v>
      </c>
      <c r="E20" s="384" t="s">
        <v>129</v>
      </c>
      <c r="F20" s="371" t="s">
        <v>424</v>
      </c>
      <c r="G20" s="372" t="s">
        <v>226</v>
      </c>
      <c r="H20" s="158" t="str">
        <f>VLOOKUP(E20,WD!$C$6:$K$46,3,FALSE)</f>
        <v>大細波</v>
      </c>
      <c r="I20" s="171" t="s">
        <v>424</v>
      </c>
      <c r="J20" s="158" t="str">
        <f>VLOOKUP(G20,WD!$C$6:$K$46,3,FALSE)</f>
        <v>ME</v>
      </c>
      <c r="K20" s="172">
        <v>1</v>
      </c>
      <c r="L20" s="158">
        <f>21+18</f>
        <v>39</v>
      </c>
      <c r="M20" s="158">
        <f>16+21</f>
        <v>37</v>
      </c>
      <c r="N20" s="158">
        <v>1</v>
      </c>
      <c r="O20" s="352" t="s">
        <v>884</v>
      </c>
      <c r="P20" s="530"/>
      <c r="Q20" s="527">
        <v>2</v>
      </c>
      <c r="R20" s="526" t="s">
        <v>883</v>
      </c>
      <c r="S20" s="527">
        <v>1</v>
      </c>
      <c r="T20" s="527">
        <v>2</v>
      </c>
      <c r="U20" s="527">
        <v>0</v>
      </c>
      <c r="V20" s="527">
        <f>S20*3+T20*1+U20*0</f>
        <v>5</v>
      </c>
      <c r="W20" s="528"/>
      <c r="X20" s="530"/>
      <c r="Y20" s="527">
        <v>2</v>
      </c>
      <c r="Z20" s="526" t="s">
        <v>703</v>
      </c>
      <c r="AA20" s="527">
        <v>2</v>
      </c>
      <c r="AB20" s="527">
        <v>1</v>
      </c>
      <c r="AC20" s="527">
        <v>0</v>
      </c>
      <c r="AD20" s="527">
        <f>AA20*3+AB20*1+AC20*0</f>
        <v>7</v>
      </c>
    </row>
    <row r="21" spans="2:30" ht="18.75" customHeight="1">
      <c r="B21" s="430">
        <v>16</v>
      </c>
      <c r="C21" s="369" t="s">
        <v>461</v>
      </c>
      <c r="D21" s="383">
        <v>4</v>
      </c>
      <c r="E21" s="384" t="s">
        <v>197</v>
      </c>
      <c r="F21" s="371" t="s">
        <v>424</v>
      </c>
      <c r="G21" s="372" t="s">
        <v>766</v>
      </c>
      <c r="H21" s="158">
        <f>VLOOKUP(E21,WD!$C$6:$K$46,3,FALSE)</f>
        <v>1442</v>
      </c>
      <c r="I21" s="171" t="s">
        <v>424</v>
      </c>
      <c r="J21" s="158" t="str">
        <f>VLOOKUP(G21,WD!$C$6:$K$46,3,FALSE)</f>
        <v>HAHA</v>
      </c>
      <c r="K21" s="172">
        <v>2</v>
      </c>
      <c r="L21" s="158">
        <f>21+21</f>
        <v>42</v>
      </c>
      <c r="M21" s="158">
        <f>4+6</f>
        <v>10</v>
      </c>
      <c r="N21" s="158">
        <v>0</v>
      </c>
      <c r="O21" s="352" t="s">
        <v>885</v>
      </c>
      <c r="P21" s="525"/>
      <c r="Q21" s="527">
        <v>3</v>
      </c>
      <c r="R21" s="526" t="s">
        <v>709</v>
      </c>
      <c r="S21" s="527">
        <v>0</v>
      </c>
      <c r="T21" s="527">
        <v>2</v>
      </c>
      <c r="U21" s="527">
        <v>1</v>
      </c>
      <c r="V21" s="527">
        <f>S21*3+T21*1+U21*0</f>
        <v>2</v>
      </c>
      <c r="W21" s="528"/>
      <c r="X21" s="525"/>
      <c r="Y21" s="527">
        <v>3</v>
      </c>
      <c r="Z21" s="526" t="s">
        <v>785</v>
      </c>
      <c r="AA21" s="527">
        <v>1</v>
      </c>
      <c r="AB21" s="527">
        <v>0</v>
      </c>
      <c r="AC21" s="527">
        <v>2</v>
      </c>
      <c r="AD21" s="527">
        <f>AA21*3+AB21*1+AC21*0</f>
        <v>3</v>
      </c>
    </row>
    <row r="22" spans="2:30" ht="18.75" customHeight="1">
      <c r="B22" s="431">
        <v>17</v>
      </c>
      <c r="C22" s="369" t="s">
        <v>461</v>
      </c>
      <c r="D22" s="383">
        <v>5</v>
      </c>
      <c r="E22" s="384" t="s">
        <v>226</v>
      </c>
      <c r="F22" s="371" t="s">
        <v>424</v>
      </c>
      <c r="G22" s="372" t="s">
        <v>766</v>
      </c>
      <c r="H22" s="158" t="str">
        <f>VLOOKUP(E22,WD!$C$6:$K$46,3,FALSE)</f>
        <v>ME</v>
      </c>
      <c r="I22" s="171" t="s">
        <v>424</v>
      </c>
      <c r="J22" s="158" t="str">
        <f>VLOOKUP(G22,WD!$C$6:$K$46,3,FALSE)</f>
        <v>HAHA</v>
      </c>
      <c r="K22" s="172">
        <v>2</v>
      </c>
      <c r="L22" s="158">
        <f>21+21</f>
        <v>42</v>
      </c>
      <c r="M22" s="158">
        <f>15+13</f>
        <v>28</v>
      </c>
      <c r="N22" s="158">
        <v>0</v>
      </c>
      <c r="O22" s="352" t="s">
        <v>886</v>
      </c>
      <c r="P22" s="530"/>
      <c r="Q22" s="527">
        <v>4</v>
      </c>
      <c r="R22" s="526" t="s">
        <v>781</v>
      </c>
      <c r="S22" s="527">
        <v>0</v>
      </c>
      <c r="T22" s="527">
        <v>2</v>
      </c>
      <c r="U22" s="527">
        <v>1</v>
      </c>
      <c r="V22" s="527">
        <f>S22*3+T22*1+U22*0</f>
        <v>2</v>
      </c>
      <c r="W22" s="528"/>
      <c r="X22" s="530"/>
      <c r="Y22" s="527">
        <v>4</v>
      </c>
      <c r="Z22" s="526" t="s">
        <v>789</v>
      </c>
      <c r="AA22" s="527">
        <v>0</v>
      </c>
      <c r="AB22" s="527">
        <v>0</v>
      </c>
      <c r="AC22" s="527">
        <v>3</v>
      </c>
      <c r="AD22" s="527">
        <f>AA22*3+AC22*0</f>
        <v>0</v>
      </c>
    </row>
    <row r="23" spans="2:30" ht="18.75" customHeight="1">
      <c r="B23" s="430">
        <v>18</v>
      </c>
      <c r="C23" s="376" t="s">
        <v>461</v>
      </c>
      <c r="D23" s="377">
        <v>6</v>
      </c>
      <c r="E23" s="386" t="s">
        <v>129</v>
      </c>
      <c r="F23" s="378" t="s">
        <v>424</v>
      </c>
      <c r="G23" s="378" t="s">
        <v>197</v>
      </c>
      <c r="H23" s="158" t="str">
        <f>VLOOKUP(E23,WD!$C$6:$K$46,3,FALSE)</f>
        <v>大細波</v>
      </c>
      <c r="I23" s="171" t="s">
        <v>424</v>
      </c>
      <c r="J23" s="158">
        <f>VLOOKUP(G23,WD!$C$6:$K$46,3,FALSE)</f>
        <v>1442</v>
      </c>
      <c r="K23" s="172">
        <v>0</v>
      </c>
      <c r="L23" s="158">
        <f>9+16</f>
        <v>25</v>
      </c>
      <c r="M23" s="158">
        <f>21+21</f>
        <v>42</v>
      </c>
      <c r="N23" s="158">
        <v>2</v>
      </c>
      <c r="O23" s="352" t="s">
        <v>887</v>
      </c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25"/>
      <c r="AB23" s="525"/>
      <c r="AC23" s="525"/>
      <c r="AD23" s="525"/>
    </row>
    <row r="24" spans="2:30" ht="18.75" customHeight="1">
      <c r="B24" s="431">
        <v>19</v>
      </c>
      <c r="C24" s="387" t="s">
        <v>462</v>
      </c>
      <c r="D24" s="383">
        <v>1</v>
      </c>
      <c r="E24" s="384" t="s">
        <v>135</v>
      </c>
      <c r="F24" s="371" t="s">
        <v>424</v>
      </c>
      <c r="G24" s="372" t="s">
        <v>739</v>
      </c>
      <c r="H24" s="158" t="str">
        <f>VLOOKUP(E24,WD!$C$6:$K$46,3,FALSE)</f>
        <v>葵青-啫喱冰冰</v>
      </c>
      <c r="I24" s="171" t="s">
        <v>424</v>
      </c>
      <c r="J24" s="158" t="str">
        <f>VLOOKUP(G24,WD!$C$6:$K$46,3,FALSE)</f>
        <v>哈比</v>
      </c>
      <c r="K24" s="172">
        <v>2</v>
      </c>
      <c r="L24" s="158">
        <f>21+21</f>
        <v>42</v>
      </c>
      <c r="M24" s="158">
        <f>17+10</f>
        <v>27</v>
      </c>
      <c r="N24" s="158">
        <v>0</v>
      </c>
      <c r="O24" s="352" t="s">
        <v>888</v>
      </c>
      <c r="P24" s="530"/>
      <c r="Q24" s="525" t="s">
        <v>426</v>
      </c>
      <c r="R24" s="525" t="s">
        <v>50</v>
      </c>
      <c r="S24" s="525" t="s">
        <v>427</v>
      </c>
      <c r="T24" s="525" t="s">
        <v>428</v>
      </c>
      <c r="U24" s="525" t="s">
        <v>429</v>
      </c>
      <c r="V24" s="525" t="s">
        <v>61</v>
      </c>
      <c r="W24" s="530"/>
      <c r="X24" s="530"/>
      <c r="Y24" s="525" t="s">
        <v>426</v>
      </c>
      <c r="Z24" s="525" t="s">
        <v>50</v>
      </c>
      <c r="AA24" s="525" t="s">
        <v>427</v>
      </c>
      <c r="AB24" s="525" t="s">
        <v>428</v>
      </c>
      <c r="AC24" s="525" t="s">
        <v>429</v>
      </c>
      <c r="AD24" s="525" t="s">
        <v>61</v>
      </c>
    </row>
    <row r="25" spans="2:30" ht="18.75" customHeight="1">
      <c r="B25" s="430">
        <v>20</v>
      </c>
      <c r="C25" s="387" t="s">
        <v>462</v>
      </c>
      <c r="D25" s="383">
        <v>2</v>
      </c>
      <c r="E25" s="384" t="s">
        <v>191</v>
      </c>
      <c r="F25" s="371" t="s">
        <v>424</v>
      </c>
      <c r="G25" s="372" t="s">
        <v>232</v>
      </c>
      <c r="H25" s="158" t="str">
        <f>VLOOKUP(E25,WD!$C$6:$K$46,3,FALSE)</f>
        <v>ZIZI</v>
      </c>
      <c r="I25" s="171" t="s">
        <v>424</v>
      </c>
      <c r="J25" s="158" t="str">
        <f>VLOOKUP(G25,WD!$C$6:$K$46,3,FALSE)</f>
        <v>大力死守</v>
      </c>
      <c r="K25" s="172">
        <v>0</v>
      </c>
      <c r="L25" s="158">
        <f>5+3</f>
        <v>8</v>
      </c>
      <c r="M25" s="158">
        <f>21+21</f>
        <v>42</v>
      </c>
      <c r="N25" s="158">
        <v>2</v>
      </c>
      <c r="O25" s="352" t="s">
        <v>889</v>
      </c>
      <c r="P25" s="531" t="s">
        <v>465</v>
      </c>
      <c r="Q25" s="527">
        <v>1</v>
      </c>
      <c r="R25" s="527" t="s">
        <v>683</v>
      </c>
      <c r="S25" s="527">
        <v>2</v>
      </c>
      <c r="T25" s="527">
        <v>0</v>
      </c>
      <c r="U25" s="527">
        <v>0</v>
      </c>
      <c r="V25" s="527">
        <f>S25*3+T25*1+U25*0</f>
        <v>6</v>
      </c>
      <c r="W25" s="530"/>
      <c r="X25" s="531" t="s">
        <v>466</v>
      </c>
      <c r="Y25" s="527">
        <v>1</v>
      </c>
      <c r="Z25" s="527" t="s">
        <v>767</v>
      </c>
      <c r="AA25" s="527">
        <v>0</v>
      </c>
      <c r="AB25" s="527">
        <v>1</v>
      </c>
      <c r="AC25" s="527">
        <v>0</v>
      </c>
      <c r="AD25" s="527">
        <f>AA25*3+AB25*1+AC25*0</f>
        <v>1</v>
      </c>
    </row>
    <row r="26" spans="2:30" ht="18.75" customHeight="1">
      <c r="B26" s="430">
        <v>21</v>
      </c>
      <c r="C26" s="387" t="s">
        <v>462</v>
      </c>
      <c r="D26" s="383">
        <v>3</v>
      </c>
      <c r="E26" s="384" t="s">
        <v>135</v>
      </c>
      <c r="F26" s="371" t="s">
        <v>424</v>
      </c>
      <c r="G26" s="372" t="s">
        <v>232</v>
      </c>
      <c r="H26" s="158" t="str">
        <f>VLOOKUP(E26,WD!$C$6:$K$46,3,FALSE)</f>
        <v>葵青-啫喱冰冰</v>
      </c>
      <c r="I26" s="171" t="s">
        <v>424</v>
      </c>
      <c r="J26" s="158" t="str">
        <f>VLOOKUP(G26,WD!$C$6:$K$46,3,FALSE)</f>
        <v>大力死守</v>
      </c>
      <c r="K26" s="172">
        <v>0</v>
      </c>
      <c r="L26" s="158">
        <f>9+19</f>
        <v>28</v>
      </c>
      <c r="M26" s="158">
        <f>21+21</f>
        <v>42</v>
      </c>
      <c r="N26" s="158">
        <v>2</v>
      </c>
      <c r="O26" s="352" t="s">
        <v>890</v>
      </c>
      <c r="P26" s="530"/>
      <c r="Q26" s="527">
        <v>2</v>
      </c>
      <c r="R26" s="527" t="s">
        <v>698</v>
      </c>
      <c r="S26" s="527">
        <v>1</v>
      </c>
      <c r="T26" s="527">
        <v>0</v>
      </c>
      <c r="U26" s="527">
        <v>1</v>
      </c>
      <c r="V26" s="527">
        <f>S26*3+U26*0</f>
        <v>3</v>
      </c>
      <c r="W26" s="530"/>
      <c r="X26" s="530"/>
      <c r="Y26" s="527">
        <v>2</v>
      </c>
      <c r="Z26" s="527" t="s">
        <v>693</v>
      </c>
      <c r="AA26" s="527">
        <v>0</v>
      </c>
      <c r="AB26" s="527">
        <v>1</v>
      </c>
      <c r="AC26" s="527">
        <v>0</v>
      </c>
      <c r="AD26" s="527">
        <f>AA26*3+AC26*0</f>
        <v>0</v>
      </c>
    </row>
    <row r="27" spans="2:30" ht="18.75" customHeight="1">
      <c r="B27" s="431">
        <v>22</v>
      </c>
      <c r="C27" s="387" t="s">
        <v>462</v>
      </c>
      <c r="D27" s="383">
        <v>4</v>
      </c>
      <c r="E27" s="384" t="s">
        <v>191</v>
      </c>
      <c r="F27" s="371" t="s">
        <v>424</v>
      </c>
      <c r="G27" s="372" t="s">
        <v>739</v>
      </c>
      <c r="H27" s="158" t="str">
        <f>VLOOKUP(E27,WD!$C$6:$K$46,3,FALSE)</f>
        <v>ZIZI</v>
      </c>
      <c r="I27" s="171" t="s">
        <v>424</v>
      </c>
      <c r="J27" s="158" t="str">
        <f>VLOOKUP(G27,WD!$C$6:$K$46,3,FALSE)</f>
        <v>哈比</v>
      </c>
      <c r="K27" s="172">
        <v>0</v>
      </c>
      <c r="L27" s="158">
        <f>10+9</f>
        <v>19</v>
      </c>
      <c r="M27" s="158">
        <f>21+21</f>
        <v>42</v>
      </c>
      <c r="N27" s="158">
        <v>2</v>
      </c>
      <c r="O27" s="352" t="s">
        <v>891</v>
      </c>
      <c r="P27" s="525"/>
      <c r="Q27" s="527">
        <v>3</v>
      </c>
      <c r="R27" s="527" t="s">
        <v>731</v>
      </c>
      <c r="S27" s="527">
        <v>0</v>
      </c>
      <c r="T27" s="527">
        <v>0</v>
      </c>
      <c r="U27" s="527">
        <v>1</v>
      </c>
      <c r="V27" s="527">
        <f>S27*3+U27*0</f>
        <v>0</v>
      </c>
      <c r="W27" s="525"/>
      <c r="X27" s="525"/>
      <c r="Y27" s="527"/>
      <c r="Z27" s="527" t="s">
        <v>688</v>
      </c>
      <c r="AA27" s="527"/>
      <c r="AB27" s="527"/>
      <c r="AC27" s="527"/>
      <c r="AD27" s="527"/>
    </row>
    <row r="28" spans="2:30" ht="18.75" customHeight="1">
      <c r="B28" s="430">
        <v>23</v>
      </c>
      <c r="C28" s="387" t="s">
        <v>462</v>
      </c>
      <c r="D28" s="383">
        <v>5</v>
      </c>
      <c r="E28" s="384" t="s">
        <v>232</v>
      </c>
      <c r="F28" s="371" t="s">
        <v>424</v>
      </c>
      <c r="G28" s="372" t="s">
        <v>739</v>
      </c>
      <c r="H28" s="158" t="str">
        <f>VLOOKUP(E28,WD!$C$6:$K$46,3,FALSE)</f>
        <v>大力死守</v>
      </c>
      <c r="I28" s="171" t="s">
        <v>424</v>
      </c>
      <c r="J28" s="158" t="str">
        <f>VLOOKUP(G28,WD!$C$6:$K$46,3,FALSE)</f>
        <v>哈比</v>
      </c>
      <c r="K28" s="432">
        <v>2</v>
      </c>
      <c r="L28" s="165">
        <f>21+21</f>
        <v>42</v>
      </c>
      <c r="M28" s="165">
        <f>13+16</f>
        <v>29</v>
      </c>
      <c r="N28" s="165">
        <v>0</v>
      </c>
      <c r="O28" s="352" t="s">
        <v>892</v>
      </c>
      <c r="P28" s="530"/>
      <c r="Q28" s="527"/>
      <c r="R28" s="533" t="s">
        <v>755</v>
      </c>
      <c r="S28" s="527"/>
      <c r="T28" s="527"/>
      <c r="U28" s="527"/>
      <c r="V28" s="527"/>
      <c r="W28" s="525"/>
      <c r="X28" s="530"/>
      <c r="Y28" s="527"/>
      <c r="Z28" s="527" t="s">
        <v>1116</v>
      </c>
      <c r="AA28" s="527"/>
      <c r="AB28" s="527"/>
      <c r="AC28" s="527"/>
      <c r="AD28" s="527"/>
    </row>
    <row r="29" spans="2:15" ht="18.75" customHeight="1">
      <c r="B29" s="431">
        <v>24</v>
      </c>
      <c r="C29" s="376" t="s">
        <v>462</v>
      </c>
      <c r="D29" s="377">
        <v>6</v>
      </c>
      <c r="E29" s="386" t="s">
        <v>135</v>
      </c>
      <c r="F29" s="378" t="s">
        <v>424</v>
      </c>
      <c r="G29" s="378" t="s">
        <v>191</v>
      </c>
      <c r="H29" s="158" t="str">
        <f>VLOOKUP(E29,WD!$C$6:$K$46,3,FALSE)</f>
        <v>葵青-啫喱冰冰</v>
      </c>
      <c r="I29" s="171" t="s">
        <v>424</v>
      </c>
      <c r="J29" s="158" t="str">
        <f>VLOOKUP(G29,WD!$C$6:$K$46,3,FALSE)</f>
        <v>ZIZI</v>
      </c>
      <c r="K29" s="432">
        <v>2</v>
      </c>
      <c r="L29" s="165">
        <f>21+21</f>
        <v>42</v>
      </c>
      <c r="M29" s="165">
        <f>10+7</f>
        <v>17</v>
      </c>
      <c r="N29" s="165">
        <v>0</v>
      </c>
      <c r="O29" s="352" t="s">
        <v>893</v>
      </c>
    </row>
    <row r="30" spans="2:15" ht="18.75" customHeight="1">
      <c r="B30" s="430">
        <v>25</v>
      </c>
      <c r="C30" s="369" t="s">
        <v>463</v>
      </c>
      <c r="D30" s="383">
        <v>1</v>
      </c>
      <c r="E30" s="384" t="s">
        <v>141</v>
      </c>
      <c r="F30" s="371" t="s">
        <v>424</v>
      </c>
      <c r="G30" s="372" t="s">
        <v>780</v>
      </c>
      <c r="H30" s="158" t="str">
        <f>VLOOKUP(E30,WD!$C$6:$K$46,3,FALSE)</f>
        <v>求奇</v>
      </c>
      <c r="I30" s="171" t="s">
        <v>424</v>
      </c>
      <c r="J30" s="158" t="str">
        <f>VLOOKUP(G30,WD!$C$6:$K$46,3,FALSE)</f>
        <v>Puipui </v>
      </c>
      <c r="K30" s="172">
        <v>0</v>
      </c>
      <c r="L30" s="158">
        <v>0</v>
      </c>
      <c r="M30" s="158">
        <f>21+21</f>
        <v>42</v>
      </c>
      <c r="N30" s="158">
        <v>2</v>
      </c>
      <c r="O30" s="352" t="s">
        <v>894</v>
      </c>
    </row>
    <row r="31" spans="2:15" ht="18.75" customHeight="1">
      <c r="B31" s="430">
        <v>26</v>
      </c>
      <c r="C31" s="369" t="s">
        <v>463</v>
      </c>
      <c r="D31" s="383">
        <v>2</v>
      </c>
      <c r="E31" s="384" t="s">
        <v>185</v>
      </c>
      <c r="F31" s="371" t="s">
        <v>424</v>
      </c>
      <c r="G31" s="372" t="s">
        <v>238</v>
      </c>
      <c r="H31" s="158" t="str">
        <f>VLOOKUP(E31,WD!$C$6:$K$46,3,FALSE)</f>
        <v>Runa</v>
      </c>
      <c r="I31" s="171" t="s">
        <v>424</v>
      </c>
      <c r="J31" s="158" t="str">
        <f>VLOOKUP(G31,WD!$C$6:$K$46,3,FALSE)</f>
        <v>S.potato</v>
      </c>
      <c r="K31" s="172">
        <v>1</v>
      </c>
      <c r="L31" s="158">
        <f>21+14</f>
        <v>35</v>
      </c>
      <c r="M31" s="158">
        <f>10+21</f>
        <v>31</v>
      </c>
      <c r="N31" s="158">
        <v>1</v>
      </c>
      <c r="O31" s="352" t="s">
        <v>895</v>
      </c>
    </row>
    <row r="32" spans="2:15" ht="18.75" customHeight="1">
      <c r="B32" s="431">
        <v>27</v>
      </c>
      <c r="C32" s="369" t="s">
        <v>463</v>
      </c>
      <c r="D32" s="383">
        <v>3</v>
      </c>
      <c r="E32" s="384" t="s">
        <v>141</v>
      </c>
      <c r="F32" s="371" t="s">
        <v>424</v>
      </c>
      <c r="G32" s="372" t="s">
        <v>238</v>
      </c>
      <c r="H32" s="158" t="str">
        <f>VLOOKUP(E32,WD!$C$6:$K$46,3,FALSE)</f>
        <v>求奇</v>
      </c>
      <c r="I32" s="171" t="s">
        <v>424</v>
      </c>
      <c r="J32" s="158" t="str">
        <f>VLOOKUP(G32,WD!$C$6:$K$46,3,FALSE)</f>
        <v>S.potato</v>
      </c>
      <c r="K32" s="172">
        <v>2</v>
      </c>
      <c r="L32" s="158">
        <f>21+21</f>
        <v>42</v>
      </c>
      <c r="M32" s="158">
        <f>13+19</f>
        <v>32</v>
      </c>
      <c r="N32" s="158">
        <v>0</v>
      </c>
      <c r="O32" s="352" t="s">
        <v>1109</v>
      </c>
    </row>
    <row r="33" spans="2:16" ht="18.75" customHeight="1">
      <c r="B33" s="430">
        <v>28</v>
      </c>
      <c r="C33" s="369" t="s">
        <v>463</v>
      </c>
      <c r="D33" s="383">
        <v>4</v>
      </c>
      <c r="E33" s="384" t="s">
        <v>185</v>
      </c>
      <c r="F33" s="371" t="s">
        <v>424</v>
      </c>
      <c r="G33" s="372" t="s">
        <v>780</v>
      </c>
      <c r="H33" s="158" t="str">
        <f>VLOOKUP(E33,WD!$C$6:$K$46,3,FALSE)</f>
        <v>Runa</v>
      </c>
      <c r="I33" s="171" t="s">
        <v>424</v>
      </c>
      <c r="J33" s="158" t="str">
        <f>VLOOKUP(G33,WD!$C$6:$K$46,3,FALSE)</f>
        <v>Puipui </v>
      </c>
      <c r="K33" s="172">
        <v>1</v>
      </c>
      <c r="L33" s="158">
        <f>18+21</f>
        <v>39</v>
      </c>
      <c r="M33" s="158">
        <f>21+19</f>
        <v>40</v>
      </c>
      <c r="N33" s="158">
        <v>1</v>
      </c>
      <c r="O33" s="352" t="s">
        <v>1112</v>
      </c>
      <c r="P33" s="186"/>
    </row>
    <row r="34" spans="2:16" ht="18.75" customHeight="1">
      <c r="B34" s="431">
        <v>29</v>
      </c>
      <c r="C34" s="369" t="s">
        <v>463</v>
      </c>
      <c r="D34" s="383">
        <v>5</v>
      </c>
      <c r="E34" s="384" t="s">
        <v>238</v>
      </c>
      <c r="F34" s="371" t="s">
        <v>424</v>
      </c>
      <c r="G34" s="372" t="s">
        <v>780</v>
      </c>
      <c r="H34" s="158" t="str">
        <f>VLOOKUP(E34,WD!$C$6:$K$46,3,FALSE)</f>
        <v>S.potato</v>
      </c>
      <c r="I34" s="171" t="s">
        <v>424</v>
      </c>
      <c r="J34" s="158" t="str">
        <f>VLOOKUP(G34,WD!$C$6:$K$46,3,FALSE)</f>
        <v>Puipui </v>
      </c>
      <c r="K34" s="172">
        <v>1</v>
      </c>
      <c r="L34" s="158">
        <f>17+21</f>
        <v>38</v>
      </c>
      <c r="M34" s="158">
        <f>21+13</f>
        <v>34</v>
      </c>
      <c r="N34" s="158">
        <v>1</v>
      </c>
      <c r="O34" s="352" t="s">
        <v>1111</v>
      </c>
      <c r="P34" s="186"/>
    </row>
    <row r="35" spans="2:15" ht="18.75" customHeight="1">
      <c r="B35" s="430">
        <v>30</v>
      </c>
      <c r="C35" s="376" t="s">
        <v>463</v>
      </c>
      <c r="D35" s="377">
        <v>6</v>
      </c>
      <c r="E35" s="386" t="s">
        <v>141</v>
      </c>
      <c r="F35" s="378" t="s">
        <v>424</v>
      </c>
      <c r="G35" s="378" t="s">
        <v>185</v>
      </c>
      <c r="H35" s="158" t="str">
        <f>VLOOKUP(E35,WD!$C$6:$K$46,3,FALSE)</f>
        <v>求奇</v>
      </c>
      <c r="I35" s="171" t="s">
        <v>424</v>
      </c>
      <c r="J35" s="158" t="str">
        <f>VLOOKUP(G35,WD!$C$6:$K$46,3,FALSE)</f>
        <v>Runa</v>
      </c>
      <c r="K35" s="172">
        <v>2</v>
      </c>
      <c r="L35" s="158">
        <f aca="true" t="shared" si="1" ref="L35:L40">21+21</f>
        <v>42</v>
      </c>
      <c r="M35" s="158">
        <f>16+5</f>
        <v>21</v>
      </c>
      <c r="N35" s="158">
        <v>0</v>
      </c>
      <c r="O35" s="352" t="s">
        <v>1107</v>
      </c>
    </row>
    <row r="36" spans="2:15" ht="18.75" customHeight="1">
      <c r="B36" s="430">
        <v>31</v>
      </c>
      <c r="C36" s="369" t="s">
        <v>464</v>
      </c>
      <c r="D36" s="383">
        <v>1</v>
      </c>
      <c r="E36" s="363" t="s">
        <v>147</v>
      </c>
      <c r="F36" s="366" t="s">
        <v>424</v>
      </c>
      <c r="G36" s="366" t="s">
        <v>793</v>
      </c>
      <c r="H36" s="158" t="str">
        <f>VLOOKUP(E36,WD!$C$6:$K$46,3,FALSE)</f>
        <v>標腰</v>
      </c>
      <c r="I36" s="171" t="s">
        <v>424</v>
      </c>
      <c r="J36" s="158" t="str">
        <f>VLOOKUP(G36,WD!$C$6:$K$46,3,FALSE)</f>
        <v>Spark</v>
      </c>
      <c r="K36" s="172">
        <v>2</v>
      </c>
      <c r="L36" s="158">
        <f t="shared" si="1"/>
        <v>42</v>
      </c>
      <c r="M36" s="158">
        <f>8+5</f>
        <v>13</v>
      </c>
      <c r="N36" s="158">
        <v>0</v>
      </c>
      <c r="O36" s="352" t="s">
        <v>896</v>
      </c>
    </row>
    <row r="37" spans="2:15" ht="18.75" customHeight="1">
      <c r="B37" s="430">
        <v>32</v>
      </c>
      <c r="C37" s="369" t="s">
        <v>464</v>
      </c>
      <c r="D37" s="383">
        <v>2</v>
      </c>
      <c r="E37" s="384" t="s">
        <v>179</v>
      </c>
      <c r="F37" s="371" t="s">
        <v>424</v>
      </c>
      <c r="G37" s="372" t="s">
        <v>251</v>
      </c>
      <c r="H37" s="158" t="str">
        <f>VLOOKUP(E37,WD!$C$6:$K$46,3,FALSE)</f>
        <v>RACO</v>
      </c>
      <c r="I37" s="171" t="s">
        <v>424</v>
      </c>
      <c r="J37" s="158" t="str">
        <f>VLOOKUP(G37,WD!$C$6:$K$46,3,FALSE)</f>
        <v>SODA</v>
      </c>
      <c r="K37" s="172">
        <v>2</v>
      </c>
      <c r="L37" s="158">
        <f t="shared" si="1"/>
        <v>42</v>
      </c>
      <c r="M37" s="158">
        <v>0</v>
      </c>
      <c r="N37" s="158">
        <v>0</v>
      </c>
      <c r="O37" s="352" t="s">
        <v>897</v>
      </c>
    </row>
    <row r="38" spans="2:15" ht="18.75" customHeight="1">
      <c r="B38" s="431">
        <v>33</v>
      </c>
      <c r="C38" s="369" t="s">
        <v>464</v>
      </c>
      <c r="D38" s="383">
        <v>3</v>
      </c>
      <c r="E38" s="384" t="s">
        <v>147</v>
      </c>
      <c r="F38" s="371" t="s">
        <v>424</v>
      </c>
      <c r="G38" s="372" t="s">
        <v>251</v>
      </c>
      <c r="H38" s="158" t="str">
        <f>VLOOKUP(E38,WD!$C$6:$K$46,3,FALSE)</f>
        <v>標腰</v>
      </c>
      <c r="I38" s="171" t="s">
        <v>424</v>
      </c>
      <c r="J38" s="158" t="str">
        <f>VLOOKUP(G38,WD!$C$6:$K$46,3,FALSE)</f>
        <v>SODA</v>
      </c>
      <c r="K38" s="172">
        <v>2</v>
      </c>
      <c r="L38" s="158">
        <f t="shared" si="1"/>
        <v>42</v>
      </c>
      <c r="M38" s="158">
        <f>15+8</f>
        <v>23</v>
      </c>
      <c r="N38" s="158">
        <v>0</v>
      </c>
      <c r="O38" s="352" t="s">
        <v>1108</v>
      </c>
    </row>
    <row r="39" spans="2:15" ht="18.75" customHeight="1">
      <c r="B39" s="430">
        <v>34</v>
      </c>
      <c r="C39" s="369" t="s">
        <v>464</v>
      </c>
      <c r="D39" s="383">
        <v>4</v>
      </c>
      <c r="E39" s="384" t="s">
        <v>179</v>
      </c>
      <c r="F39" s="371" t="s">
        <v>424</v>
      </c>
      <c r="G39" s="372" t="s">
        <v>793</v>
      </c>
      <c r="H39" s="158" t="str">
        <f>VLOOKUP(E39,WD!$C$6:$K$46,3,FALSE)</f>
        <v>RACO</v>
      </c>
      <c r="I39" s="171" t="s">
        <v>424</v>
      </c>
      <c r="J39" s="158" t="str">
        <f>VLOOKUP(G39,WD!$C$6:$K$46,3,FALSE)</f>
        <v>Spark</v>
      </c>
      <c r="K39" s="172">
        <v>2</v>
      </c>
      <c r="L39" s="158">
        <f t="shared" si="1"/>
        <v>42</v>
      </c>
      <c r="M39" s="158">
        <f>5+6</f>
        <v>11</v>
      </c>
      <c r="N39" s="158">
        <v>0</v>
      </c>
      <c r="O39" s="352" t="s">
        <v>879</v>
      </c>
    </row>
    <row r="40" spans="2:15" ht="18.75" customHeight="1">
      <c r="B40" s="431">
        <v>35</v>
      </c>
      <c r="C40" s="369" t="s">
        <v>464</v>
      </c>
      <c r="D40" s="383">
        <v>5</v>
      </c>
      <c r="E40" s="384" t="s">
        <v>251</v>
      </c>
      <c r="F40" s="371" t="s">
        <v>424</v>
      </c>
      <c r="G40" s="372" t="s">
        <v>793</v>
      </c>
      <c r="H40" s="158" t="str">
        <f>VLOOKUP(E40,WD!$C$6:$K$46,3,FALSE)</f>
        <v>SODA</v>
      </c>
      <c r="I40" s="171" t="s">
        <v>424</v>
      </c>
      <c r="J40" s="158" t="str">
        <f>VLOOKUP(G40,WD!$C$6:$K$46,3,FALSE)</f>
        <v>Spark</v>
      </c>
      <c r="K40" s="172">
        <v>2</v>
      </c>
      <c r="L40" s="158">
        <f t="shared" si="1"/>
        <v>42</v>
      </c>
      <c r="M40" s="158">
        <f>12+9</f>
        <v>21</v>
      </c>
      <c r="N40" s="158">
        <v>0</v>
      </c>
      <c r="O40" s="352" t="s">
        <v>1110</v>
      </c>
    </row>
    <row r="41" spans="2:15" ht="18.75" customHeight="1">
      <c r="B41" s="430">
        <v>36</v>
      </c>
      <c r="C41" s="376" t="s">
        <v>464</v>
      </c>
      <c r="D41" s="377">
        <v>6</v>
      </c>
      <c r="E41" s="386" t="s">
        <v>147</v>
      </c>
      <c r="F41" s="378" t="s">
        <v>424</v>
      </c>
      <c r="G41" s="378" t="s">
        <v>179</v>
      </c>
      <c r="H41" s="158" t="str">
        <f>VLOOKUP(E41,WD!$C$6:$K$46,3,FALSE)</f>
        <v>標腰</v>
      </c>
      <c r="I41" s="171" t="s">
        <v>424</v>
      </c>
      <c r="J41" s="158" t="str">
        <f>VLOOKUP(G41,WD!$C$6:$K$46,3,FALSE)</f>
        <v>RACO</v>
      </c>
      <c r="K41" s="172">
        <v>1</v>
      </c>
      <c r="L41" s="158">
        <f>16+21</f>
        <v>37</v>
      </c>
      <c r="M41" s="158">
        <f>21+14</f>
        <v>35</v>
      </c>
      <c r="N41" s="158">
        <v>1</v>
      </c>
      <c r="O41" s="352" t="s">
        <v>1105</v>
      </c>
    </row>
    <row r="42" spans="2:15" ht="18.75" customHeight="1">
      <c r="B42" s="430">
        <v>37</v>
      </c>
      <c r="C42" s="369" t="s">
        <v>465</v>
      </c>
      <c r="D42" s="383">
        <v>1</v>
      </c>
      <c r="E42" s="363" t="s">
        <v>153</v>
      </c>
      <c r="F42" s="366" t="s">
        <v>424</v>
      </c>
      <c r="G42" s="366" t="s">
        <v>734</v>
      </c>
      <c r="H42" s="158" t="str">
        <f>VLOOKUP(E42,WD!$C$6:$K$46,3,FALSE)</f>
        <v>Agajor Moloko</v>
      </c>
      <c r="I42" s="171" t="s">
        <v>424</v>
      </c>
      <c r="J42" s="158" t="str">
        <f>VLOOKUP(G42,WD!$C$6:$K$46,3,FALSE)</f>
        <v>只攻與防</v>
      </c>
      <c r="K42" s="172">
        <v>2</v>
      </c>
      <c r="L42" s="158">
        <f>21+21</f>
        <v>42</v>
      </c>
      <c r="M42" s="158">
        <f>16+7</f>
        <v>23</v>
      </c>
      <c r="N42" s="158">
        <v>0</v>
      </c>
      <c r="O42" s="352" t="s">
        <v>840</v>
      </c>
    </row>
    <row r="43" spans="2:15" ht="18.75" customHeight="1">
      <c r="B43" s="430">
        <v>38</v>
      </c>
      <c r="C43" s="369" t="s">
        <v>465</v>
      </c>
      <c r="D43" s="383">
        <v>2</v>
      </c>
      <c r="E43" s="384" t="s">
        <v>172</v>
      </c>
      <c r="F43" s="371" t="s">
        <v>424</v>
      </c>
      <c r="G43" s="372" t="s">
        <v>244</v>
      </c>
      <c r="H43" s="158" t="str">
        <f>VLOOKUP(E43,WD!$C$6:$K$46,3,FALSE)</f>
        <v>J&amp;M</v>
      </c>
      <c r="I43" s="171" t="s">
        <v>424</v>
      </c>
      <c r="J43" s="158" t="str">
        <f>VLOOKUP(G43,WD!$C$6:$K$46,3,FALSE)</f>
        <v>雙兒</v>
      </c>
      <c r="K43" s="172">
        <v>2</v>
      </c>
      <c r="L43" s="158">
        <f>21+21</f>
        <v>42</v>
      </c>
      <c r="M43" s="158">
        <v>0</v>
      </c>
      <c r="N43" s="158">
        <v>0</v>
      </c>
      <c r="O43" s="352" t="s">
        <v>1114</v>
      </c>
    </row>
    <row r="44" spans="2:15" ht="18.75" customHeight="1">
      <c r="B44" s="431">
        <v>39</v>
      </c>
      <c r="C44" s="369" t="s">
        <v>465</v>
      </c>
      <c r="D44" s="383">
        <v>3</v>
      </c>
      <c r="E44" s="384" t="s">
        <v>153</v>
      </c>
      <c r="F44" s="371" t="s">
        <v>424</v>
      </c>
      <c r="G44" s="372" t="s">
        <v>244</v>
      </c>
      <c r="H44" s="158" t="str">
        <f>VLOOKUP(E44,WD!$C$6:$K$46,3,FALSE)</f>
        <v>Agajor Moloko</v>
      </c>
      <c r="I44" s="171" t="s">
        <v>424</v>
      </c>
      <c r="J44" s="158" t="str">
        <f>VLOOKUP(G44,WD!$C$6:$K$46,3,FALSE)</f>
        <v>雙兒</v>
      </c>
      <c r="K44" s="172">
        <v>2</v>
      </c>
      <c r="L44" s="158">
        <f>21+21</f>
        <v>42</v>
      </c>
      <c r="M44" s="158">
        <v>0</v>
      </c>
      <c r="N44" s="158">
        <v>0</v>
      </c>
      <c r="O44" s="352" t="s">
        <v>1114</v>
      </c>
    </row>
    <row r="45" spans="2:15" ht="18.75" customHeight="1">
      <c r="B45" s="430">
        <v>40</v>
      </c>
      <c r="C45" s="369" t="s">
        <v>465</v>
      </c>
      <c r="D45" s="383">
        <v>4</v>
      </c>
      <c r="E45" s="384" t="s">
        <v>172</v>
      </c>
      <c r="F45" s="371" t="s">
        <v>424</v>
      </c>
      <c r="G45" s="372" t="s">
        <v>734</v>
      </c>
      <c r="H45" s="158" t="str">
        <f>VLOOKUP(E45,WD!$C$6:$K$46,3,FALSE)</f>
        <v>J&amp;M</v>
      </c>
      <c r="I45" s="171" t="s">
        <v>424</v>
      </c>
      <c r="J45" s="158" t="str">
        <f>VLOOKUP(G45,WD!$C$6:$K$46,3,FALSE)</f>
        <v>只攻與防</v>
      </c>
      <c r="K45" s="172">
        <v>2</v>
      </c>
      <c r="L45" s="158">
        <f>21+21</f>
        <v>42</v>
      </c>
      <c r="M45" s="158">
        <f>18+15</f>
        <v>33</v>
      </c>
      <c r="N45" s="158">
        <v>0</v>
      </c>
      <c r="O45" s="352" t="s">
        <v>456</v>
      </c>
    </row>
    <row r="46" spans="2:15" ht="18.75" customHeight="1">
      <c r="B46" s="431">
        <v>41</v>
      </c>
      <c r="C46" s="369" t="s">
        <v>465</v>
      </c>
      <c r="D46" s="383">
        <v>5</v>
      </c>
      <c r="E46" s="384" t="s">
        <v>244</v>
      </c>
      <c r="F46" s="371" t="s">
        <v>424</v>
      </c>
      <c r="G46" s="372" t="s">
        <v>734</v>
      </c>
      <c r="H46" s="158" t="str">
        <f>VLOOKUP(E46,WD!$C$6:$K$46,3,FALSE)</f>
        <v>雙兒</v>
      </c>
      <c r="I46" s="171" t="s">
        <v>424</v>
      </c>
      <c r="J46" s="158" t="str">
        <f>VLOOKUP(G46,WD!$C$6:$K$46,3,FALSE)</f>
        <v>只攻與防</v>
      </c>
      <c r="K46" s="172">
        <v>0</v>
      </c>
      <c r="L46" s="158">
        <v>0</v>
      </c>
      <c r="M46" s="158">
        <f>21+21</f>
        <v>42</v>
      </c>
      <c r="N46" s="158">
        <v>2</v>
      </c>
      <c r="O46" s="352" t="s">
        <v>1114</v>
      </c>
    </row>
    <row r="47" spans="2:15" ht="18.75" customHeight="1">
      <c r="B47" s="430">
        <v>42</v>
      </c>
      <c r="C47" s="369" t="s">
        <v>465</v>
      </c>
      <c r="D47" s="377">
        <v>6</v>
      </c>
      <c r="E47" s="386" t="s">
        <v>153</v>
      </c>
      <c r="F47" s="378" t="s">
        <v>424</v>
      </c>
      <c r="G47" s="378" t="s">
        <v>172</v>
      </c>
      <c r="H47" s="158" t="str">
        <f>VLOOKUP(E47,WD!$C$6:$K$46,3,FALSE)</f>
        <v>Agajor Moloko</v>
      </c>
      <c r="I47" s="171" t="s">
        <v>424</v>
      </c>
      <c r="J47" s="158" t="str">
        <f>VLOOKUP(G47,WD!$C$6:$K$46,3,FALSE)</f>
        <v>J&amp;M</v>
      </c>
      <c r="K47" s="172">
        <v>2</v>
      </c>
      <c r="L47" s="158">
        <f>21+21</f>
        <v>42</v>
      </c>
      <c r="M47" s="158">
        <f>12+12</f>
        <v>24</v>
      </c>
      <c r="N47" s="158">
        <v>0</v>
      </c>
      <c r="O47" s="352" t="s">
        <v>1123</v>
      </c>
    </row>
    <row r="48" spans="2:15" ht="18.75" customHeight="1">
      <c r="B48" s="430">
        <v>43</v>
      </c>
      <c r="C48" s="364" t="s">
        <v>466</v>
      </c>
      <c r="D48" s="383">
        <v>1</v>
      </c>
      <c r="E48" s="363" t="s">
        <v>160</v>
      </c>
      <c r="F48" s="366" t="s">
        <v>424</v>
      </c>
      <c r="G48" s="366" t="s">
        <v>771</v>
      </c>
      <c r="H48" s="158" t="str">
        <f>VLOOKUP(E48,WD!$C$6:$K$46,3,FALSE)</f>
        <v>GG</v>
      </c>
      <c r="I48" s="171" t="s">
        <v>424</v>
      </c>
      <c r="J48" s="158" t="str">
        <f>VLOOKUP(G48,WD!$C$6:$K$46,3,FALSE)</f>
        <v>LIZ&amp;KEL</v>
      </c>
      <c r="K48" s="172">
        <v>0</v>
      </c>
      <c r="L48" s="158">
        <v>0</v>
      </c>
      <c r="M48" s="158">
        <f>21+21</f>
        <v>42</v>
      </c>
      <c r="N48" s="158">
        <v>2</v>
      </c>
      <c r="O48" s="352" t="s">
        <v>1118</v>
      </c>
    </row>
    <row r="49" spans="2:15" ht="18.75" customHeight="1">
      <c r="B49" s="430">
        <v>44</v>
      </c>
      <c r="C49" s="369" t="s">
        <v>466</v>
      </c>
      <c r="D49" s="383">
        <v>2</v>
      </c>
      <c r="E49" s="384" t="s">
        <v>166</v>
      </c>
      <c r="F49" s="371" t="s">
        <v>424</v>
      </c>
      <c r="G49" s="372" t="s">
        <v>270</v>
      </c>
      <c r="H49" s="158" t="str">
        <f>VLOOKUP(E49,WD!$C$6:$K$46,3,FALSE)</f>
        <v>Synergy</v>
      </c>
      <c r="I49" s="171" t="s">
        <v>424</v>
      </c>
      <c r="J49" s="158" t="str">
        <f>VLOOKUP(G49,WD!$C$6:$K$46,3,FALSE)</f>
        <v>TKP老野</v>
      </c>
      <c r="K49" s="172">
        <v>2</v>
      </c>
      <c r="L49" s="158">
        <f>21+21</f>
        <v>42</v>
      </c>
      <c r="M49" s="158">
        <v>0</v>
      </c>
      <c r="N49" s="158">
        <v>0</v>
      </c>
      <c r="O49" s="352" t="s">
        <v>1115</v>
      </c>
    </row>
    <row r="50" spans="2:15" ht="18.75" customHeight="1">
      <c r="B50" s="431">
        <v>45</v>
      </c>
      <c r="C50" s="369" t="s">
        <v>466</v>
      </c>
      <c r="D50" s="383">
        <v>3</v>
      </c>
      <c r="E50" s="384" t="s">
        <v>160</v>
      </c>
      <c r="F50" s="371" t="s">
        <v>424</v>
      </c>
      <c r="G50" s="372" t="s">
        <v>270</v>
      </c>
      <c r="H50" s="158" t="str">
        <f>VLOOKUP(E50,WD!$C$6:$K$46,3,FALSE)</f>
        <v>GG</v>
      </c>
      <c r="I50" s="171" t="s">
        <v>424</v>
      </c>
      <c r="J50" s="158" t="str">
        <f>VLOOKUP(G50,WD!$C$6:$K$46,3,FALSE)</f>
        <v>TKP老野</v>
      </c>
      <c r="K50" s="172" t="s">
        <v>1119</v>
      </c>
      <c r="L50" s="172" t="s">
        <v>1119</v>
      </c>
      <c r="M50" s="172" t="s">
        <v>1119</v>
      </c>
      <c r="N50" s="172" t="s">
        <v>1119</v>
      </c>
      <c r="O50" s="352" t="s">
        <v>1117</v>
      </c>
    </row>
    <row r="51" spans="2:15" ht="18.75" customHeight="1">
      <c r="B51" s="430">
        <v>46</v>
      </c>
      <c r="C51" s="369" t="s">
        <v>466</v>
      </c>
      <c r="D51" s="383">
        <v>4</v>
      </c>
      <c r="E51" s="384" t="s">
        <v>166</v>
      </c>
      <c r="F51" s="371" t="s">
        <v>424</v>
      </c>
      <c r="G51" s="372" t="s">
        <v>771</v>
      </c>
      <c r="H51" s="158" t="str">
        <f>VLOOKUP(E51,WD!$C$6:$K$46,3,FALSE)</f>
        <v>Synergy</v>
      </c>
      <c r="I51" s="171" t="s">
        <v>424</v>
      </c>
      <c r="J51" s="158" t="str">
        <f>VLOOKUP(G51,WD!$C$6:$K$46,3,FALSE)</f>
        <v>LIZ&amp;KEL</v>
      </c>
      <c r="K51" s="172">
        <v>1</v>
      </c>
      <c r="L51" s="158">
        <f>21+14</f>
        <v>35</v>
      </c>
      <c r="M51" s="158">
        <f>15+21</f>
        <v>36</v>
      </c>
      <c r="N51" s="158">
        <v>1</v>
      </c>
      <c r="O51" s="352" t="s">
        <v>1120</v>
      </c>
    </row>
    <row r="52" spans="2:15" ht="18.75" customHeight="1">
      <c r="B52" s="431">
        <v>47</v>
      </c>
      <c r="C52" s="369" t="s">
        <v>466</v>
      </c>
      <c r="D52" s="383">
        <v>5</v>
      </c>
      <c r="E52" s="384" t="s">
        <v>270</v>
      </c>
      <c r="F52" s="371" t="s">
        <v>424</v>
      </c>
      <c r="G52" s="372" t="s">
        <v>771</v>
      </c>
      <c r="H52" s="158" t="str">
        <f>VLOOKUP(E52,WD!$C$6:$K$46,3,FALSE)</f>
        <v>TKP老野</v>
      </c>
      <c r="I52" s="171" t="s">
        <v>424</v>
      </c>
      <c r="J52" s="158" t="str">
        <f>VLOOKUP(G52,WD!$C$6:$K$46,3,FALSE)</f>
        <v>LIZ&amp;KEL</v>
      </c>
      <c r="K52" s="172">
        <v>0</v>
      </c>
      <c r="L52" s="158">
        <v>0</v>
      </c>
      <c r="M52" s="158">
        <f>21+21</f>
        <v>42</v>
      </c>
      <c r="N52" s="158">
        <v>2</v>
      </c>
      <c r="O52" s="352" t="s">
        <v>1115</v>
      </c>
    </row>
    <row r="53" spans="2:15" ht="18.75" customHeight="1">
      <c r="B53" s="431">
        <v>48</v>
      </c>
      <c r="C53" s="376" t="s">
        <v>466</v>
      </c>
      <c r="D53" s="377">
        <v>6</v>
      </c>
      <c r="E53" s="386" t="s">
        <v>160</v>
      </c>
      <c r="F53" s="378" t="s">
        <v>424</v>
      </c>
      <c r="G53" s="378" t="s">
        <v>166</v>
      </c>
      <c r="H53" s="158" t="str">
        <f>VLOOKUP(E53,WD!$C$6:$K$46,3,FALSE)</f>
        <v>GG</v>
      </c>
      <c r="I53" s="171" t="s">
        <v>424</v>
      </c>
      <c r="J53" s="158" t="str">
        <f>VLOOKUP(G53,WD!$C$6:$K$46,3,FALSE)</f>
        <v>Synergy</v>
      </c>
      <c r="K53" s="172">
        <v>0</v>
      </c>
      <c r="L53" s="158">
        <v>0</v>
      </c>
      <c r="M53" s="158">
        <f>21+21</f>
        <v>42</v>
      </c>
      <c r="N53" s="158">
        <v>2</v>
      </c>
      <c r="O53" s="352" t="s">
        <v>1118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selection activeCell="C5" sqref="C5"/>
    </sheetView>
  </sheetViews>
  <sheetFormatPr defaultColWidth="8.796875" defaultRowHeight="15"/>
  <cols>
    <col min="1" max="1" width="8.8984375" style="595" customWidth="1"/>
    <col min="2" max="2" width="17.796875" style="595" customWidth="1"/>
    <col min="3" max="16384" width="8.8984375" style="595" customWidth="1"/>
  </cols>
  <sheetData>
    <row r="1" spans="1:5" ht="20.25" thickBot="1">
      <c r="A1" s="589" t="s">
        <v>1214</v>
      </c>
      <c r="B1" s="590"/>
      <c r="C1" s="590"/>
      <c r="D1" s="590"/>
      <c r="E1" s="590"/>
    </row>
    <row r="2" spans="1:5" ht="18" thickTop="1">
      <c r="A2" s="590"/>
      <c r="B2" s="590"/>
      <c r="C2" s="590"/>
      <c r="D2" s="590"/>
      <c r="E2" s="590"/>
    </row>
    <row r="3" spans="1:5" ht="17.25">
      <c r="A3" s="591" t="s">
        <v>1208</v>
      </c>
      <c r="B3" s="591" t="s">
        <v>1209</v>
      </c>
      <c r="C3" s="591" t="s">
        <v>1210</v>
      </c>
      <c r="D3" s="591" t="s">
        <v>1210</v>
      </c>
      <c r="E3" s="591" t="s">
        <v>415</v>
      </c>
    </row>
    <row r="4" spans="1:5" ht="17.25">
      <c r="A4" s="590">
        <v>1</v>
      </c>
      <c r="B4" s="595" t="s">
        <v>654</v>
      </c>
      <c r="C4" s="595" t="s">
        <v>655</v>
      </c>
      <c r="D4" s="595" t="s">
        <v>657</v>
      </c>
      <c r="E4" s="590">
        <v>120</v>
      </c>
    </row>
    <row r="5" spans="1:5" ht="17.25">
      <c r="A5" s="590">
        <v>2</v>
      </c>
      <c r="B5" s="595" t="s">
        <v>678</v>
      </c>
      <c r="C5" s="595" t="s">
        <v>679</v>
      </c>
      <c r="D5" s="595" t="s">
        <v>681</v>
      </c>
      <c r="E5" s="590">
        <v>108</v>
      </c>
    </row>
    <row r="6" spans="1:5" ht="17.25">
      <c r="A6" s="590">
        <v>3</v>
      </c>
      <c r="B6" s="595" t="s">
        <v>727</v>
      </c>
      <c r="C6" s="595" t="s">
        <v>728</v>
      </c>
      <c r="D6" s="595" t="s">
        <v>729</v>
      </c>
      <c r="E6" s="590">
        <v>96</v>
      </c>
    </row>
    <row r="7" spans="1:5" ht="17.25">
      <c r="A7" s="590">
        <v>4</v>
      </c>
      <c r="B7" s="595" t="s">
        <v>659</v>
      </c>
      <c r="C7" s="595" t="s">
        <v>660</v>
      </c>
      <c r="D7" s="595" t="s">
        <v>662</v>
      </c>
      <c r="E7" s="590">
        <v>84</v>
      </c>
    </row>
    <row r="8" spans="1:5" ht="17.25">
      <c r="A8" s="590">
        <v>5</v>
      </c>
      <c r="B8" s="595" t="s">
        <v>1113</v>
      </c>
      <c r="C8" s="595" t="s">
        <v>669</v>
      </c>
      <c r="D8" s="595" t="s">
        <v>671</v>
      </c>
      <c r="E8" s="590">
        <v>72</v>
      </c>
    </row>
    <row r="9" spans="1:5" ht="17.25">
      <c r="A9" s="590">
        <v>6</v>
      </c>
      <c r="B9" s="595" t="s">
        <v>673</v>
      </c>
      <c r="C9" s="595" t="s">
        <v>674</v>
      </c>
      <c r="D9" s="595" t="s">
        <v>676</v>
      </c>
      <c r="E9" s="590">
        <v>72</v>
      </c>
    </row>
    <row r="10" spans="1:5" ht="17.25">
      <c r="A10" s="590">
        <v>7</v>
      </c>
      <c r="B10" s="595">
        <v>1442</v>
      </c>
      <c r="C10" s="595" t="s">
        <v>719</v>
      </c>
      <c r="D10" s="595" t="s">
        <v>721</v>
      </c>
      <c r="E10" s="590">
        <v>72</v>
      </c>
    </row>
    <row r="11" spans="1:5" ht="17.25">
      <c r="A11" s="590">
        <v>8</v>
      </c>
      <c r="B11" s="595" t="s">
        <v>683</v>
      </c>
      <c r="C11" s="595" t="s">
        <v>684</v>
      </c>
      <c r="D11" s="595" t="s">
        <v>686</v>
      </c>
      <c r="E11" s="590">
        <v>72</v>
      </c>
    </row>
    <row r="12" spans="1:5" ht="17.25">
      <c r="A12" s="590">
        <v>9</v>
      </c>
      <c r="B12" s="595" t="s">
        <v>703</v>
      </c>
      <c r="C12" s="595" t="s">
        <v>704</v>
      </c>
      <c r="D12" s="595" t="s">
        <v>706</v>
      </c>
      <c r="E12" s="595">
        <v>54</v>
      </c>
    </row>
    <row r="13" spans="1:5" ht="17.25">
      <c r="A13" s="590">
        <v>10</v>
      </c>
      <c r="B13" s="595" t="s">
        <v>767</v>
      </c>
      <c r="C13" s="595" t="s">
        <v>768</v>
      </c>
      <c r="D13" s="595" t="s">
        <v>770</v>
      </c>
      <c r="E13" s="595">
        <v>54</v>
      </c>
    </row>
    <row r="14" spans="1:5" ht="17.25">
      <c r="A14" s="590">
        <v>11</v>
      </c>
      <c r="B14" s="595" t="s">
        <v>698</v>
      </c>
      <c r="C14" s="595" t="s">
        <v>699</v>
      </c>
      <c r="D14" s="595" t="s">
        <v>701</v>
      </c>
      <c r="E14" s="595">
        <v>54</v>
      </c>
    </row>
    <row r="15" spans="1:5" ht="17.25">
      <c r="A15" s="590">
        <v>12</v>
      </c>
      <c r="B15" s="595" t="s">
        <v>747</v>
      </c>
      <c r="C15" s="595" t="s">
        <v>748</v>
      </c>
      <c r="D15" s="595" t="s">
        <v>749</v>
      </c>
      <c r="E15" s="595">
        <v>54</v>
      </c>
    </row>
    <row r="16" spans="1:5" ht="17.25">
      <c r="A16" s="590">
        <v>13</v>
      </c>
      <c r="B16" s="595" t="s">
        <v>883</v>
      </c>
      <c r="C16" s="595" t="s">
        <v>776</v>
      </c>
      <c r="D16" s="595" t="s">
        <v>778</v>
      </c>
      <c r="E16" s="595">
        <v>54</v>
      </c>
    </row>
    <row r="17" spans="1:5" ht="17.25">
      <c r="A17" s="590">
        <v>14</v>
      </c>
      <c r="B17" s="595" t="s">
        <v>751</v>
      </c>
      <c r="C17" s="595" t="s">
        <v>752</v>
      </c>
      <c r="D17" s="595" t="s">
        <v>754</v>
      </c>
      <c r="E17" s="595">
        <v>54</v>
      </c>
    </row>
    <row r="18" spans="1:5" ht="17.25">
      <c r="A18" s="590">
        <v>15</v>
      </c>
      <c r="B18" s="595" t="s">
        <v>693</v>
      </c>
      <c r="C18" s="595" t="s">
        <v>694</v>
      </c>
      <c r="D18" s="595" t="s">
        <v>696</v>
      </c>
      <c r="E18" s="595">
        <v>54</v>
      </c>
    </row>
    <row r="19" spans="1:5" ht="17.25">
      <c r="A19" s="590">
        <v>16</v>
      </c>
      <c r="B19" s="595" t="s">
        <v>663</v>
      </c>
      <c r="C19" s="595" t="s">
        <v>1216</v>
      </c>
      <c r="D19" s="595" t="s">
        <v>666</v>
      </c>
      <c r="E19" s="595">
        <v>54</v>
      </c>
    </row>
    <row r="20" spans="1:5" ht="17.25">
      <c r="A20" s="590">
        <v>17</v>
      </c>
      <c r="B20" s="595" t="s">
        <v>876</v>
      </c>
      <c r="C20" s="595" t="s">
        <v>759</v>
      </c>
      <c r="D20" s="595" t="s">
        <v>760</v>
      </c>
      <c r="E20" s="595">
        <v>48</v>
      </c>
    </row>
    <row r="21" spans="1:5" ht="17.25">
      <c r="A21" s="590">
        <v>18</v>
      </c>
      <c r="B21" s="595" t="s">
        <v>723</v>
      </c>
      <c r="C21" s="595" t="s">
        <v>724</v>
      </c>
      <c r="D21" s="595" t="s">
        <v>726</v>
      </c>
      <c r="E21" s="595">
        <v>48</v>
      </c>
    </row>
    <row r="22" spans="1:5" ht="17.25">
      <c r="A22" s="590">
        <v>19</v>
      </c>
      <c r="B22" s="595" t="s">
        <v>772</v>
      </c>
      <c r="C22" s="595" t="s">
        <v>773</v>
      </c>
      <c r="D22" s="595" t="s">
        <v>774</v>
      </c>
      <c r="E22" s="595">
        <v>48</v>
      </c>
    </row>
    <row r="23" spans="1:5" ht="17.25">
      <c r="A23" s="590">
        <v>20</v>
      </c>
      <c r="B23" s="595" t="s">
        <v>735</v>
      </c>
      <c r="C23" s="595" t="s">
        <v>736</v>
      </c>
      <c r="D23" s="595" t="s">
        <v>738</v>
      </c>
      <c r="E23" s="595">
        <v>48</v>
      </c>
    </row>
    <row r="24" spans="1:5" ht="17.25">
      <c r="A24" s="590">
        <v>21</v>
      </c>
      <c r="B24" s="595" t="s">
        <v>709</v>
      </c>
      <c r="C24" s="595" t="s">
        <v>710</v>
      </c>
      <c r="D24" s="595" t="s">
        <v>712</v>
      </c>
      <c r="E24" s="595">
        <v>48</v>
      </c>
    </row>
    <row r="25" spans="1:5" ht="17.25">
      <c r="A25" s="590">
        <v>22</v>
      </c>
      <c r="B25" s="595" t="s">
        <v>785</v>
      </c>
      <c r="C25" s="595" t="s">
        <v>786</v>
      </c>
      <c r="D25" s="595" t="s">
        <v>788</v>
      </c>
      <c r="E25" s="595">
        <v>48</v>
      </c>
    </row>
    <row r="26" spans="1:5" ht="17.25">
      <c r="A26" s="590">
        <v>23</v>
      </c>
      <c r="B26" s="595" t="s">
        <v>731</v>
      </c>
      <c r="C26" s="595" t="s">
        <v>732</v>
      </c>
      <c r="D26" s="595" t="s">
        <v>733</v>
      </c>
      <c r="E26" s="595">
        <v>48</v>
      </c>
    </row>
    <row r="27" spans="1:5" ht="17.25">
      <c r="A27" s="590">
        <v>24</v>
      </c>
      <c r="B27" s="595" t="s">
        <v>743</v>
      </c>
      <c r="C27" s="595" t="s">
        <v>744</v>
      </c>
      <c r="D27" s="595" t="s">
        <v>746</v>
      </c>
      <c r="E27" s="595">
        <v>48</v>
      </c>
    </row>
    <row r="28" spans="1:5" ht="17.25">
      <c r="A28" s="590">
        <v>25</v>
      </c>
      <c r="B28" s="595" t="s">
        <v>740</v>
      </c>
      <c r="C28" s="595" t="s">
        <v>741</v>
      </c>
      <c r="D28" s="595" t="s">
        <v>742</v>
      </c>
      <c r="E28" s="595">
        <v>36</v>
      </c>
    </row>
    <row r="29" spans="1:5" ht="17.25">
      <c r="A29" s="590">
        <v>26</v>
      </c>
      <c r="B29" s="595" t="s">
        <v>762</v>
      </c>
      <c r="C29" s="595" t="s">
        <v>763</v>
      </c>
      <c r="D29" s="595" t="s">
        <v>764</v>
      </c>
      <c r="E29" s="595">
        <v>36</v>
      </c>
    </row>
    <row r="30" spans="1:5" ht="17.25">
      <c r="A30" s="590">
        <v>27</v>
      </c>
      <c r="B30" s="595" t="s">
        <v>714</v>
      </c>
      <c r="C30" s="595" t="s">
        <v>715</v>
      </c>
      <c r="D30" s="595" t="s">
        <v>717</v>
      </c>
      <c r="E30" s="595">
        <v>36</v>
      </c>
    </row>
    <row r="31" spans="1:5" ht="17.25">
      <c r="A31" s="590">
        <v>28</v>
      </c>
      <c r="B31" s="595" t="s">
        <v>781</v>
      </c>
      <c r="C31" s="595" t="s">
        <v>782</v>
      </c>
      <c r="D31" s="595" t="s">
        <v>784</v>
      </c>
      <c r="E31" s="595">
        <v>36</v>
      </c>
    </row>
    <row r="32" spans="1:5" ht="17.25">
      <c r="A32" s="590">
        <v>29</v>
      </c>
      <c r="B32" s="595" t="s">
        <v>789</v>
      </c>
      <c r="C32" s="595" t="s">
        <v>790</v>
      </c>
      <c r="D32" s="595" t="s">
        <v>792</v>
      </c>
      <c r="E32" s="595">
        <v>36</v>
      </c>
    </row>
    <row r="33" spans="1:5" ht="17.25">
      <c r="A33" s="595" t="s">
        <v>515</v>
      </c>
      <c r="B33" s="595" t="s">
        <v>798</v>
      </c>
      <c r="C33" s="595" t="s">
        <v>799</v>
      </c>
      <c r="D33" s="595" t="s">
        <v>801</v>
      </c>
      <c r="E33" s="595" t="s">
        <v>515</v>
      </c>
    </row>
    <row r="34" spans="1:5" ht="17.25">
      <c r="A34" s="595" t="s">
        <v>515</v>
      </c>
      <c r="B34" s="595" t="s">
        <v>688</v>
      </c>
      <c r="C34" s="595" t="s">
        <v>689</v>
      </c>
      <c r="D34" s="595" t="s">
        <v>691</v>
      </c>
      <c r="E34" s="595" t="s">
        <v>515</v>
      </c>
    </row>
    <row r="35" spans="1:5" ht="17.25">
      <c r="A35" s="595" t="s">
        <v>515</v>
      </c>
      <c r="B35" s="595" t="s">
        <v>1116</v>
      </c>
      <c r="C35" s="595" t="s">
        <v>795</v>
      </c>
      <c r="D35" s="595" t="s">
        <v>797</v>
      </c>
      <c r="E35" s="595" t="s">
        <v>515</v>
      </c>
    </row>
    <row r="36" spans="1:5" ht="17.25">
      <c r="A36" s="595" t="s">
        <v>515</v>
      </c>
      <c r="B36" s="595" t="s">
        <v>755</v>
      </c>
      <c r="C36" s="595" t="s">
        <v>756</v>
      </c>
      <c r="D36" s="595" t="s">
        <v>757</v>
      </c>
      <c r="E36" s="595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4"/>
  <sheetViews>
    <sheetView zoomScale="70" zoomScaleNormal="70" zoomScalePageLayoutView="0" workbookViewId="0" topLeftCell="A202">
      <selection activeCell="L232" sqref="L232"/>
    </sheetView>
  </sheetViews>
  <sheetFormatPr defaultColWidth="7.3984375" defaultRowHeight="15"/>
  <cols>
    <col min="1" max="1" width="7.3984375" style="433" customWidth="1"/>
    <col min="2" max="2" width="10.796875" style="433" customWidth="1"/>
    <col min="3" max="6" width="8.796875" style="434" customWidth="1"/>
    <col min="7" max="7" width="8.796875" style="435" customWidth="1"/>
    <col min="8" max="9" width="8.796875" style="433" customWidth="1"/>
    <col min="10" max="10" width="10.796875" style="433" customWidth="1"/>
    <col min="11" max="11" width="8.796875" style="433" customWidth="1"/>
    <col min="12" max="13" width="8.796875" style="434" customWidth="1"/>
    <col min="14" max="14" width="8.796875" style="433" customWidth="1"/>
    <col min="15" max="15" width="8.796875" style="435" customWidth="1"/>
    <col min="16" max="16384" width="7.3984375" style="433" customWidth="1"/>
  </cols>
  <sheetData>
    <row r="1" spans="2:10" ht="16.5" customHeight="1">
      <c r="B1" s="436"/>
      <c r="C1" s="437"/>
      <c r="D1" s="437"/>
      <c r="E1" s="437"/>
      <c r="G1" s="436"/>
      <c r="H1" s="438" t="s">
        <v>898</v>
      </c>
      <c r="I1" s="439"/>
      <c r="J1" s="439"/>
    </row>
    <row r="2" spans="3:10" ht="16.5" customHeight="1">
      <c r="C2" s="437"/>
      <c r="D2" s="437"/>
      <c r="E2" s="437"/>
      <c r="G2" s="436"/>
      <c r="H2" s="440" t="s">
        <v>899</v>
      </c>
      <c r="I2" s="439"/>
      <c r="J2" s="439"/>
    </row>
    <row r="3" spans="3:10" ht="16.5" customHeight="1">
      <c r="C3" s="437"/>
      <c r="D3" s="437"/>
      <c r="E3" s="437"/>
      <c r="F3" s="439"/>
      <c r="G3" s="436"/>
      <c r="H3" s="439"/>
      <c r="I3" s="439"/>
      <c r="J3" s="439"/>
    </row>
    <row r="4" spans="3:10" ht="16.5" customHeight="1">
      <c r="C4" s="437"/>
      <c r="D4" s="437"/>
      <c r="E4" s="441"/>
      <c r="F4" s="442"/>
      <c r="G4" s="443"/>
      <c r="H4" s="444" t="s">
        <v>900</v>
      </c>
      <c r="I4" s="445"/>
      <c r="J4" s="445"/>
    </row>
    <row r="5" spans="5:10" ht="16.5" customHeight="1">
      <c r="E5" s="446"/>
      <c r="F5" s="442"/>
      <c r="G5" s="447"/>
      <c r="H5" s="448" t="s">
        <v>901</v>
      </c>
      <c r="I5" s="442"/>
      <c r="J5" s="442"/>
    </row>
    <row r="6" spans="2:10" ht="17.25">
      <c r="B6" s="434"/>
      <c r="H6" s="434"/>
      <c r="I6" s="434"/>
      <c r="J6" s="434"/>
    </row>
    <row r="7" spans="2:15" ht="18">
      <c r="B7" s="434"/>
      <c r="E7" s="449" t="s">
        <v>902</v>
      </c>
      <c r="F7" s="449"/>
      <c r="G7" s="450"/>
      <c r="H7" s="434"/>
      <c r="I7" s="434"/>
      <c r="J7" s="434"/>
      <c r="L7" s="449" t="s">
        <v>903</v>
      </c>
      <c r="M7" s="449"/>
      <c r="N7" s="449"/>
      <c r="O7" s="450"/>
    </row>
    <row r="8" spans="2:15" ht="17.25">
      <c r="B8" s="434"/>
      <c r="C8" s="451" t="s">
        <v>381</v>
      </c>
      <c r="D8" s="452" t="s">
        <v>904</v>
      </c>
      <c r="E8" s="453" t="s">
        <v>905</v>
      </c>
      <c r="F8" s="453" t="s">
        <v>906</v>
      </c>
      <c r="G8" s="454"/>
      <c r="H8" s="434"/>
      <c r="I8" s="434"/>
      <c r="J8" s="455" t="s">
        <v>907</v>
      </c>
      <c r="K8" s="455" t="s">
        <v>908</v>
      </c>
      <c r="L8" s="635" t="s">
        <v>909</v>
      </c>
      <c r="M8" s="635"/>
      <c r="N8" s="635"/>
      <c r="O8" s="635"/>
    </row>
    <row r="9" spans="2:15" ht="17.25">
      <c r="B9" s="434"/>
      <c r="C9" s="456"/>
      <c r="D9" s="457" t="s">
        <v>910</v>
      </c>
      <c r="E9" s="458" t="s">
        <v>911</v>
      </c>
      <c r="F9" s="459" t="s">
        <v>912</v>
      </c>
      <c r="G9" s="460"/>
      <c r="H9" s="434"/>
      <c r="I9" s="434"/>
      <c r="J9" s="461" t="s">
        <v>913</v>
      </c>
      <c r="K9" s="461" t="s">
        <v>914</v>
      </c>
      <c r="L9" s="462" t="s">
        <v>423</v>
      </c>
      <c r="M9" s="462" t="s">
        <v>460</v>
      </c>
      <c r="N9" s="463"/>
      <c r="O9" s="464"/>
    </row>
    <row r="10" spans="2:15" ht="17.25">
      <c r="B10" s="465"/>
      <c r="C10" s="456"/>
      <c r="D10" s="457" t="s">
        <v>915</v>
      </c>
      <c r="E10" s="457" t="s">
        <v>916</v>
      </c>
      <c r="F10" s="466" t="s">
        <v>421</v>
      </c>
      <c r="G10" s="460"/>
      <c r="H10" s="434"/>
      <c r="I10" s="434"/>
      <c r="J10" s="467">
        <v>0.375</v>
      </c>
      <c r="K10" s="462">
        <v>1</v>
      </c>
      <c r="L10" s="468" t="s">
        <v>917</v>
      </c>
      <c r="N10" s="469"/>
      <c r="O10" s="470"/>
    </row>
    <row r="11" spans="2:15" ht="17.25">
      <c r="B11" s="434"/>
      <c r="C11" s="471"/>
      <c r="D11" s="472" t="s">
        <v>918</v>
      </c>
      <c r="E11" s="473" t="s">
        <v>422</v>
      </c>
      <c r="F11" s="474" t="s">
        <v>919</v>
      </c>
      <c r="G11" s="475"/>
      <c r="H11" s="434"/>
      <c r="I11" s="434"/>
      <c r="J11" s="467">
        <v>0.3888888888888889</v>
      </c>
      <c r="K11" s="462">
        <v>2</v>
      </c>
      <c r="L11" s="468" t="s">
        <v>920</v>
      </c>
      <c r="M11" s="476"/>
      <c r="N11" s="476"/>
      <c r="O11" s="477"/>
    </row>
    <row r="12" spans="2:15" ht="17.25">
      <c r="B12" s="434"/>
      <c r="D12" s="478"/>
      <c r="E12" s="478"/>
      <c r="F12" s="478"/>
      <c r="G12" s="479"/>
      <c r="H12" s="434"/>
      <c r="I12" s="434"/>
      <c r="J12" s="467">
        <v>0.402777777777778</v>
      </c>
      <c r="K12" s="462">
        <v>3</v>
      </c>
      <c r="L12" s="468" t="s">
        <v>921</v>
      </c>
      <c r="M12" s="480"/>
      <c r="N12" s="476"/>
      <c r="O12" s="477"/>
    </row>
    <row r="13" spans="2:15" ht="17.25">
      <c r="B13" s="434"/>
      <c r="D13" s="478"/>
      <c r="E13" s="478"/>
      <c r="F13" s="478"/>
      <c r="G13" s="479"/>
      <c r="H13" s="434"/>
      <c r="I13" s="434"/>
      <c r="J13" s="467">
        <v>0.416666666666667</v>
      </c>
      <c r="K13" s="455">
        <v>4</v>
      </c>
      <c r="L13" s="481" t="s">
        <v>922</v>
      </c>
      <c r="M13" s="476"/>
      <c r="N13" s="476"/>
      <c r="O13" s="477"/>
    </row>
    <row r="14" spans="2:15" ht="17.25">
      <c r="B14" s="434"/>
      <c r="F14" s="433"/>
      <c r="H14" s="434"/>
      <c r="I14" s="434"/>
      <c r="J14" s="482"/>
      <c r="K14" s="462"/>
      <c r="L14" s="462"/>
      <c r="M14" s="480"/>
      <c r="N14" s="476"/>
      <c r="O14" s="477"/>
    </row>
    <row r="15" spans="2:15" ht="17.25" customHeight="1">
      <c r="B15" s="455" t="s">
        <v>907</v>
      </c>
      <c r="C15" s="455" t="s">
        <v>908</v>
      </c>
      <c r="D15" s="635" t="s">
        <v>909</v>
      </c>
      <c r="E15" s="635"/>
      <c r="F15" s="635"/>
      <c r="G15" s="635"/>
      <c r="H15" s="434"/>
      <c r="I15" s="434"/>
      <c r="J15" s="637" t="s">
        <v>923</v>
      </c>
      <c r="K15" s="637"/>
      <c r="L15" s="637"/>
      <c r="M15" s="637"/>
      <c r="N15" s="637"/>
      <c r="O15" s="637"/>
    </row>
    <row r="16" spans="2:15" ht="17.25">
      <c r="B16" s="461" t="s">
        <v>913</v>
      </c>
      <c r="C16" s="461" t="s">
        <v>914</v>
      </c>
      <c r="D16" s="462" t="s">
        <v>423</v>
      </c>
      <c r="E16" s="462" t="s">
        <v>460</v>
      </c>
      <c r="F16" s="463"/>
      <c r="G16" s="464"/>
      <c r="H16" s="434"/>
      <c r="I16" s="434"/>
      <c r="J16" s="467">
        <v>0.5833333333333334</v>
      </c>
      <c r="K16" s="462">
        <v>5</v>
      </c>
      <c r="L16" s="468" t="s">
        <v>924</v>
      </c>
      <c r="M16" s="293"/>
      <c r="N16" s="476"/>
      <c r="O16" s="477"/>
    </row>
    <row r="17" spans="2:15" ht="17.25">
      <c r="B17" s="482">
        <v>0.5833333333333334</v>
      </c>
      <c r="C17" s="462">
        <v>1</v>
      </c>
      <c r="D17" s="483" t="s">
        <v>925</v>
      </c>
      <c r="E17" s="476"/>
      <c r="F17" s="476"/>
      <c r="G17" s="470"/>
      <c r="H17" s="434"/>
      <c r="I17" s="434"/>
      <c r="J17" s="467">
        <v>0.5972222222222222</v>
      </c>
      <c r="K17" s="462">
        <v>6</v>
      </c>
      <c r="L17" s="481" t="s">
        <v>926</v>
      </c>
      <c r="M17" s="476"/>
      <c r="N17" s="476"/>
      <c r="O17" s="477"/>
    </row>
    <row r="18" spans="2:15" ht="17.25">
      <c r="B18" s="482">
        <v>0.5972222222222222</v>
      </c>
      <c r="C18" s="462">
        <v>2</v>
      </c>
      <c r="D18" s="483" t="s">
        <v>927</v>
      </c>
      <c r="E18" s="476"/>
      <c r="F18" s="476"/>
      <c r="G18" s="470"/>
      <c r="H18" s="434"/>
      <c r="I18" s="434"/>
      <c r="J18" s="467">
        <v>0.611111111111111</v>
      </c>
      <c r="K18" s="462">
        <v>7</v>
      </c>
      <c r="L18" s="484" t="s">
        <v>928</v>
      </c>
      <c r="M18" s="476"/>
      <c r="N18" s="476"/>
      <c r="O18" s="477"/>
    </row>
    <row r="19" spans="2:15" ht="17.25">
      <c r="B19" s="482">
        <v>0.611111111111111</v>
      </c>
      <c r="C19" s="462">
        <v>3</v>
      </c>
      <c r="D19" s="483" t="s">
        <v>929</v>
      </c>
      <c r="E19" s="476"/>
      <c r="F19" s="462"/>
      <c r="G19" s="464"/>
      <c r="H19" s="434"/>
      <c r="I19" s="434"/>
      <c r="J19" s="482">
        <v>0.625</v>
      </c>
      <c r="K19" s="462">
        <v>8</v>
      </c>
      <c r="L19" s="484" t="s">
        <v>930</v>
      </c>
      <c r="M19" s="476"/>
      <c r="N19" s="462"/>
      <c r="O19" s="464"/>
    </row>
    <row r="20" spans="2:15" ht="17.25">
      <c r="B20" s="482">
        <v>0.625</v>
      </c>
      <c r="C20" s="462">
        <v>4</v>
      </c>
      <c r="D20" s="483" t="s">
        <v>931</v>
      </c>
      <c r="E20" s="462"/>
      <c r="F20" s="462"/>
      <c r="G20" s="464"/>
      <c r="H20" s="434"/>
      <c r="I20" s="434"/>
      <c r="J20" s="482"/>
      <c r="K20" s="462"/>
      <c r="L20" s="476"/>
      <c r="M20" s="476"/>
      <c r="N20" s="462"/>
      <c r="O20" s="464"/>
    </row>
    <row r="21" spans="2:13" ht="17.25">
      <c r="B21" s="482"/>
      <c r="C21" s="462"/>
      <c r="D21" s="462"/>
      <c r="E21" s="476"/>
      <c r="F21" s="462"/>
      <c r="G21" s="464"/>
      <c r="H21" s="434"/>
      <c r="I21" s="434"/>
      <c r="J21" s="434"/>
      <c r="L21" s="433"/>
      <c r="M21" s="433"/>
    </row>
    <row r="22" spans="2:13" ht="17.25">
      <c r="B22" s="465"/>
      <c r="D22" s="293"/>
      <c r="E22" s="293"/>
      <c r="H22" s="434"/>
      <c r="I22" s="434"/>
      <c r="J22" s="434"/>
      <c r="L22" s="433"/>
      <c r="M22" s="433"/>
    </row>
    <row r="23" spans="2:13" ht="17.25">
      <c r="B23" s="465"/>
      <c r="D23" s="293"/>
      <c r="E23" s="293"/>
      <c r="H23" s="434"/>
      <c r="I23" s="434"/>
      <c r="J23" s="434"/>
      <c r="L23" s="433"/>
      <c r="M23" s="433"/>
    </row>
    <row r="24" spans="2:15" ht="18">
      <c r="B24" s="434"/>
      <c r="E24" s="449" t="s">
        <v>932</v>
      </c>
      <c r="F24" s="449"/>
      <c r="G24" s="450"/>
      <c r="H24" s="434"/>
      <c r="I24" s="434"/>
      <c r="J24" s="434"/>
      <c r="L24" s="449" t="s">
        <v>933</v>
      </c>
      <c r="M24" s="449"/>
      <c r="N24" s="449"/>
      <c r="O24" s="450"/>
    </row>
    <row r="25" spans="2:15" ht="17.25">
      <c r="B25" s="434"/>
      <c r="C25" s="451" t="s">
        <v>381</v>
      </c>
      <c r="D25" s="452" t="s">
        <v>904</v>
      </c>
      <c r="E25" s="453" t="s">
        <v>905</v>
      </c>
      <c r="F25" s="453" t="s">
        <v>906</v>
      </c>
      <c r="G25" s="454"/>
      <c r="H25" s="434"/>
      <c r="I25" s="434"/>
      <c r="J25" s="455" t="s">
        <v>907</v>
      </c>
      <c r="K25" s="455" t="s">
        <v>908</v>
      </c>
      <c r="L25" s="635" t="s">
        <v>909</v>
      </c>
      <c r="M25" s="635"/>
      <c r="N25" s="635"/>
      <c r="O25" s="635"/>
    </row>
    <row r="26" spans="2:15" ht="17.25">
      <c r="B26" s="434"/>
      <c r="C26" s="456"/>
      <c r="D26" s="457" t="s">
        <v>910</v>
      </c>
      <c r="E26" s="458" t="s">
        <v>911</v>
      </c>
      <c r="F26" s="459" t="s">
        <v>912</v>
      </c>
      <c r="G26" s="460"/>
      <c r="H26" s="434"/>
      <c r="I26" s="434"/>
      <c r="J26" s="461" t="s">
        <v>913</v>
      </c>
      <c r="K26" s="461" t="s">
        <v>914</v>
      </c>
      <c r="L26" s="462" t="s">
        <v>423</v>
      </c>
      <c r="M26" s="462" t="s">
        <v>460</v>
      </c>
      <c r="N26" s="463"/>
      <c r="O26" s="464"/>
    </row>
    <row r="27" spans="2:15" ht="17.25">
      <c r="B27" s="465"/>
      <c r="C27" s="456"/>
      <c r="D27" s="457" t="s">
        <v>915</v>
      </c>
      <c r="E27" s="457" t="s">
        <v>916</v>
      </c>
      <c r="F27" s="466" t="s">
        <v>421</v>
      </c>
      <c r="G27" s="460"/>
      <c r="H27" s="434"/>
      <c r="I27" s="434"/>
      <c r="J27" s="467">
        <v>0.375</v>
      </c>
      <c r="K27" s="462">
        <v>1</v>
      </c>
      <c r="L27" s="483" t="s">
        <v>934</v>
      </c>
      <c r="N27" s="469"/>
      <c r="O27" s="470"/>
    </row>
    <row r="28" spans="2:15" ht="17.25">
      <c r="B28" s="434"/>
      <c r="C28" s="471"/>
      <c r="D28" s="472" t="s">
        <v>918</v>
      </c>
      <c r="E28" s="473" t="s">
        <v>422</v>
      </c>
      <c r="F28" s="474" t="s">
        <v>919</v>
      </c>
      <c r="G28" s="475"/>
      <c r="H28" s="434"/>
      <c r="I28" s="434"/>
      <c r="J28" s="467">
        <v>0.3888888888888889</v>
      </c>
      <c r="K28" s="462">
        <v>2</v>
      </c>
      <c r="L28" s="483" t="s">
        <v>935</v>
      </c>
      <c r="M28" s="476"/>
      <c r="N28" s="476"/>
      <c r="O28" s="477"/>
    </row>
    <row r="29" spans="2:15" ht="17.25">
      <c r="B29" s="434"/>
      <c r="D29" s="478"/>
      <c r="E29" s="478"/>
      <c r="F29" s="478"/>
      <c r="G29" s="479"/>
      <c r="H29" s="434"/>
      <c r="I29" s="434"/>
      <c r="J29" s="467">
        <v>0.402777777777778</v>
      </c>
      <c r="K29" s="462">
        <v>3</v>
      </c>
      <c r="L29" s="483" t="s">
        <v>936</v>
      </c>
      <c r="M29" s="480"/>
      <c r="N29" s="476"/>
      <c r="O29" s="477"/>
    </row>
    <row r="30" spans="2:15" ht="17.25">
      <c r="B30" s="434"/>
      <c r="D30" s="478"/>
      <c r="E30" s="478"/>
      <c r="F30" s="478"/>
      <c r="G30" s="479"/>
      <c r="H30" s="434"/>
      <c r="I30" s="434"/>
      <c r="J30" s="467">
        <v>0.416666666666667</v>
      </c>
      <c r="K30" s="455">
        <v>4</v>
      </c>
      <c r="L30" s="483" t="s">
        <v>937</v>
      </c>
      <c r="M30" s="476"/>
      <c r="N30" s="476"/>
      <c r="O30" s="477"/>
    </row>
    <row r="31" spans="2:15" ht="17.25">
      <c r="B31" s="434"/>
      <c r="F31" s="433"/>
      <c r="H31" s="434"/>
      <c r="I31" s="434"/>
      <c r="J31" s="482"/>
      <c r="K31" s="462"/>
      <c r="L31" s="462"/>
      <c r="M31" s="480"/>
      <c r="N31" s="476"/>
      <c r="O31" s="477"/>
    </row>
    <row r="32" spans="2:15" ht="17.25" customHeight="1">
      <c r="B32" s="455" t="s">
        <v>907</v>
      </c>
      <c r="C32" s="455" t="s">
        <v>908</v>
      </c>
      <c r="D32" s="635" t="s">
        <v>909</v>
      </c>
      <c r="E32" s="635"/>
      <c r="F32" s="635"/>
      <c r="G32" s="635"/>
      <c r="H32" s="434"/>
      <c r="I32" s="434"/>
      <c r="J32" s="637" t="s">
        <v>923</v>
      </c>
      <c r="K32" s="637"/>
      <c r="L32" s="637"/>
      <c r="M32" s="637"/>
      <c r="N32" s="637"/>
      <c r="O32" s="637"/>
    </row>
    <row r="33" spans="2:15" ht="17.25">
      <c r="B33" s="461" t="s">
        <v>913</v>
      </c>
      <c r="C33" s="461" t="s">
        <v>914</v>
      </c>
      <c r="D33" s="462" t="s">
        <v>423</v>
      </c>
      <c r="E33" s="462" t="s">
        <v>460</v>
      </c>
      <c r="F33" s="463"/>
      <c r="G33" s="464"/>
      <c r="H33" s="434"/>
      <c r="I33" s="434"/>
      <c r="J33" s="467">
        <v>0.5833333333333334</v>
      </c>
      <c r="K33" s="462">
        <v>5</v>
      </c>
      <c r="L33" s="483" t="s">
        <v>938</v>
      </c>
      <c r="M33" s="293"/>
      <c r="N33" s="476"/>
      <c r="O33" s="477"/>
    </row>
    <row r="34" spans="2:15" ht="17.25">
      <c r="B34" s="482">
        <v>0.5833333333333334</v>
      </c>
      <c r="C34" s="462">
        <v>1</v>
      </c>
      <c r="D34" s="484" t="s">
        <v>939</v>
      </c>
      <c r="E34" s="476"/>
      <c r="F34" s="476"/>
      <c r="G34" s="470"/>
      <c r="H34" s="434"/>
      <c r="I34" s="434"/>
      <c r="J34" s="467">
        <v>0.5972222222222222</v>
      </c>
      <c r="K34" s="462">
        <v>6</v>
      </c>
      <c r="L34" s="483" t="s">
        <v>940</v>
      </c>
      <c r="M34" s="476"/>
      <c r="N34" s="476"/>
      <c r="O34" s="477"/>
    </row>
    <row r="35" spans="2:15" ht="17.25">
      <c r="B35" s="482">
        <v>0.5972222222222222</v>
      </c>
      <c r="C35" s="462">
        <v>2</v>
      </c>
      <c r="D35" s="484" t="s">
        <v>941</v>
      </c>
      <c r="E35" s="476"/>
      <c r="F35" s="476"/>
      <c r="G35" s="470"/>
      <c r="H35" s="434"/>
      <c r="I35" s="434"/>
      <c r="J35" s="467">
        <v>0.611111111111111</v>
      </c>
      <c r="K35" s="462">
        <v>7</v>
      </c>
      <c r="L35" s="483" t="s">
        <v>942</v>
      </c>
      <c r="M35" s="476"/>
      <c r="N35" s="476"/>
      <c r="O35" s="477"/>
    </row>
    <row r="36" spans="2:15" ht="17.25">
      <c r="B36" s="482">
        <v>0.611111111111111</v>
      </c>
      <c r="C36" s="462">
        <v>3</v>
      </c>
      <c r="D36" s="484" t="s">
        <v>943</v>
      </c>
      <c r="E36" s="476"/>
      <c r="F36" s="462"/>
      <c r="G36" s="464"/>
      <c r="H36" s="434"/>
      <c r="I36" s="434"/>
      <c r="J36" s="482">
        <v>0.625</v>
      </c>
      <c r="K36" s="462">
        <v>8</v>
      </c>
      <c r="L36" s="483" t="s">
        <v>944</v>
      </c>
      <c r="M36" s="476"/>
      <c r="N36" s="462"/>
      <c r="O36" s="464"/>
    </row>
    <row r="37" spans="2:15" ht="17.25">
      <c r="B37" s="482">
        <v>0.625</v>
      </c>
      <c r="C37" s="462">
        <v>4</v>
      </c>
      <c r="D37" s="484" t="s">
        <v>945</v>
      </c>
      <c r="E37" s="462"/>
      <c r="F37" s="462"/>
      <c r="G37" s="464"/>
      <c r="H37" s="434"/>
      <c r="I37" s="434"/>
      <c r="J37" s="482"/>
      <c r="K37" s="462"/>
      <c r="L37" s="476"/>
      <c r="M37" s="476"/>
      <c r="N37" s="462"/>
      <c r="O37" s="464"/>
    </row>
    <row r="38" spans="2:13" ht="17.25">
      <c r="B38" s="482"/>
      <c r="C38" s="462"/>
      <c r="D38" s="462"/>
      <c r="E38" s="476"/>
      <c r="F38" s="462"/>
      <c r="G38" s="464"/>
      <c r="H38" s="434"/>
      <c r="I38" s="434"/>
      <c r="J38" s="434"/>
      <c r="L38" s="433"/>
      <c r="M38" s="433"/>
    </row>
    <row r="39" spans="2:13" ht="17.25">
      <c r="B39" s="465"/>
      <c r="D39" s="293"/>
      <c r="E39" s="293"/>
      <c r="H39" s="434"/>
      <c r="I39" s="434"/>
      <c r="J39" s="434"/>
      <c r="L39" s="433"/>
      <c r="M39" s="433"/>
    </row>
    <row r="40" spans="2:13" ht="17.25">
      <c r="B40" s="465"/>
      <c r="D40" s="293"/>
      <c r="E40" s="293"/>
      <c r="H40" s="434"/>
      <c r="I40" s="434"/>
      <c r="J40" s="434"/>
      <c r="L40" s="433"/>
      <c r="M40" s="433"/>
    </row>
    <row r="41" spans="2:15" ht="18">
      <c r="B41" s="434"/>
      <c r="E41" s="449" t="s">
        <v>946</v>
      </c>
      <c r="F41" s="449"/>
      <c r="G41" s="450"/>
      <c r="I41" s="434"/>
      <c r="J41" s="434"/>
      <c r="L41" s="449" t="s">
        <v>947</v>
      </c>
      <c r="M41" s="449"/>
      <c r="N41" s="449"/>
      <c r="O41" s="450"/>
    </row>
    <row r="42" spans="2:15" ht="17.25">
      <c r="B42" s="434"/>
      <c r="C42" s="451" t="s">
        <v>381</v>
      </c>
      <c r="D42" s="452" t="s">
        <v>904</v>
      </c>
      <c r="E42" s="453" t="s">
        <v>905</v>
      </c>
      <c r="F42" s="453" t="s">
        <v>906</v>
      </c>
      <c r="G42" s="454"/>
      <c r="H42" s="434"/>
      <c r="I42" s="434"/>
      <c r="J42" s="455" t="s">
        <v>907</v>
      </c>
      <c r="K42" s="455" t="s">
        <v>908</v>
      </c>
      <c r="L42" s="635" t="s">
        <v>909</v>
      </c>
      <c r="M42" s="635"/>
      <c r="N42" s="635"/>
      <c r="O42" s="635"/>
    </row>
    <row r="43" spans="2:15" ht="17.25">
      <c r="B43" s="434"/>
      <c r="C43" s="456"/>
      <c r="D43" s="457" t="s">
        <v>910</v>
      </c>
      <c r="E43" s="458" t="s">
        <v>911</v>
      </c>
      <c r="F43" s="459" t="s">
        <v>912</v>
      </c>
      <c r="G43" s="460"/>
      <c r="H43" s="434"/>
      <c r="I43" s="434"/>
      <c r="J43" s="461" t="s">
        <v>913</v>
      </c>
      <c r="K43" s="461" t="s">
        <v>914</v>
      </c>
      <c r="L43" s="455" t="s">
        <v>423</v>
      </c>
      <c r="M43" s="462" t="s">
        <v>460</v>
      </c>
      <c r="N43" s="463"/>
      <c r="O43" s="464"/>
    </row>
    <row r="44" spans="2:15" ht="17.25">
      <c r="B44" s="465"/>
      <c r="C44" s="456"/>
      <c r="D44" s="457" t="s">
        <v>915</v>
      </c>
      <c r="E44" s="457" t="s">
        <v>916</v>
      </c>
      <c r="F44" s="466" t="s">
        <v>421</v>
      </c>
      <c r="G44" s="460"/>
      <c r="H44" s="434"/>
      <c r="I44" s="434"/>
      <c r="J44" s="467">
        <v>0.375</v>
      </c>
      <c r="K44" s="485">
        <v>1</v>
      </c>
      <c r="L44" s="468" t="s">
        <v>948</v>
      </c>
      <c r="N44" s="469"/>
      <c r="O44" s="470"/>
    </row>
    <row r="45" spans="2:15" ht="17.25">
      <c r="B45" s="434"/>
      <c r="C45" s="471"/>
      <c r="D45" s="472" t="s">
        <v>918</v>
      </c>
      <c r="E45" s="473" t="s">
        <v>422</v>
      </c>
      <c r="F45" s="474" t="s">
        <v>919</v>
      </c>
      <c r="G45" s="475"/>
      <c r="H45" s="434"/>
      <c r="I45" s="434"/>
      <c r="J45" s="467">
        <v>0.3888888888888889</v>
      </c>
      <c r="K45" s="485">
        <v>2</v>
      </c>
      <c r="L45" s="468" t="s">
        <v>949</v>
      </c>
      <c r="M45" s="480"/>
      <c r="N45" s="476"/>
      <c r="O45" s="477"/>
    </row>
    <row r="46" spans="2:15" ht="17.25">
      <c r="B46" s="434"/>
      <c r="D46" s="478"/>
      <c r="E46" s="478"/>
      <c r="F46" s="478"/>
      <c r="G46" s="479"/>
      <c r="H46" s="434"/>
      <c r="I46" s="434"/>
      <c r="J46" s="467">
        <v>0.402777777777778</v>
      </c>
      <c r="K46" s="485">
        <v>3</v>
      </c>
      <c r="L46" s="468" t="s">
        <v>950</v>
      </c>
      <c r="M46" s="480"/>
      <c r="N46" s="476"/>
      <c r="O46" s="477"/>
    </row>
    <row r="47" spans="2:15" ht="17.25">
      <c r="B47" s="434"/>
      <c r="D47" s="478"/>
      <c r="E47" s="478"/>
      <c r="F47" s="478"/>
      <c r="G47" s="479"/>
      <c r="H47" s="434"/>
      <c r="I47" s="434"/>
      <c r="J47" s="467">
        <v>0.416666666666667</v>
      </c>
      <c r="K47" s="455">
        <v>4</v>
      </c>
      <c r="L47" s="481" t="s">
        <v>951</v>
      </c>
      <c r="M47" s="476"/>
      <c r="N47" s="476"/>
      <c r="O47" s="477"/>
    </row>
    <row r="48" spans="2:15" ht="17.25">
      <c r="B48" s="434"/>
      <c r="F48" s="433"/>
      <c r="H48" s="434"/>
      <c r="I48" s="434"/>
      <c r="J48" s="482"/>
      <c r="K48" s="462"/>
      <c r="L48" s="462"/>
      <c r="M48" s="480"/>
      <c r="N48" s="476"/>
      <c r="O48" s="477"/>
    </row>
    <row r="49" spans="2:15" ht="17.25" customHeight="1">
      <c r="B49" s="455" t="s">
        <v>907</v>
      </c>
      <c r="C49" s="455" t="s">
        <v>908</v>
      </c>
      <c r="D49" s="635" t="s">
        <v>909</v>
      </c>
      <c r="E49" s="635"/>
      <c r="F49" s="635"/>
      <c r="G49" s="635"/>
      <c r="H49" s="434"/>
      <c r="I49" s="434"/>
      <c r="J49" s="637" t="s">
        <v>923</v>
      </c>
      <c r="K49" s="637"/>
      <c r="L49" s="637"/>
      <c r="M49" s="637"/>
      <c r="N49" s="637"/>
      <c r="O49" s="637"/>
    </row>
    <row r="50" spans="2:15" ht="17.25">
      <c r="B50" s="461" t="s">
        <v>913</v>
      </c>
      <c r="C50" s="461" t="s">
        <v>914</v>
      </c>
      <c r="D50" s="462" t="s">
        <v>423</v>
      </c>
      <c r="E50" s="462" t="s">
        <v>460</v>
      </c>
      <c r="F50" s="463"/>
      <c r="G50" s="464"/>
      <c r="H50" s="434"/>
      <c r="I50" s="434"/>
      <c r="J50" s="467">
        <v>0.5833333333333334</v>
      </c>
      <c r="K50" s="485">
        <v>5</v>
      </c>
      <c r="L50" s="468" t="s">
        <v>952</v>
      </c>
      <c r="M50" s="293"/>
      <c r="N50" s="476"/>
      <c r="O50" s="477"/>
    </row>
    <row r="51" spans="2:15" ht="17.25">
      <c r="B51" s="482">
        <v>0.5833333333333334</v>
      </c>
      <c r="C51" s="462">
        <v>1</v>
      </c>
      <c r="D51" s="468" t="s">
        <v>953</v>
      </c>
      <c r="E51" s="476"/>
      <c r="F51" s="476"/>
      <c r="G51" s="470"/>
      <c r="H51" s="434"/>
      <c r="I51" s="434"/>
      <c r="J51" s="467">
        <v>0.5972222222222222</v>
      </c>
      <c r="K51" s="462">
        <v>6</v>
      </c>
      <c r="L51" s="481" t="s">
        <v>954</v>
      </c>
      <c r="M51" s="476"/>
      <c r="N51" s="476"/>
      <c r="O51" s="477"/>
    </row>
    <row r="52" spans="2:15" ht="17.25">
      <c r="B52" s="482">
        <v>0.5972222222222222</v>
      </c>
      <c r="C52" s="462">
        <v>2</v>
      </c>
      <c r="D52" s="468" t="s">
        <v>955</v>
      </c>
      <c r="E52" s="476"/>
      <c r="F52" s="476"/>
      <c r="G52" s="470"/>
      <c r="H52" s="434"/>
      <c r="I52" s="434"/>
      <c r="J52" s="467">
        <v>0.611111111111111</v>
      </c>
      <c r="K52" s="462">
        <v>7</v>
      </c>
      <c r="L52" s="484" t="s">
        <v>956</v>
      </c>
      <c r="M52" s="476"/>
      <c r="N52" s="476"/>
      <c r="O52" s="477"/>
    </row>
    <row r="53" spans="2:15" ht="17.25">
      <c r="B53" s="482">
        <v>0.611111111111111</v>
      </c>
      <c r="C53" s="462">
        <v>3</v>
      </c>
      <c r="D53" s="468" t="s">
        <v>957</v>
      </c>
      <c r="E53" s="476"/>
      <c r="F53" s="462"/>
      <c r="G53" s="464"/>
      <c r="H53" s="434"/>
      <c r="I53" s="434"/>
      <c r="J53" s="482">
        <v>0.625</v>
      </c>
      <c r="K53" s="462">
        <v>8</v>
      </c>
      <c r="L53" s="484" t="s">
        <v>958</v>
      </c>
      <c r="M53" s="476"/>
      <c r="N53" s="462"/>
      <c r="O53" s="464"/>
    </row>
    <row r="54" spans="2:15" ht="17.25">
      <c r="B54" s="482">
        <v>0.625</v>
      </c>
      <c r="C54" s="462">
        <v>4</v>
      </c>
      <c r="D54" s="468" t="s">
        <v>959</v>
      </c>
      <c r="E54" s="462"/>
      <c r="F54" s="462"/>
      <c r="G54" s="464"/>
      <c r="H54" s="434"/>
      <c r="I54" s="434"/>
      <c r="J54" s="482"/>
      <c r="K54" s="462"/>
      <c r="L54" s="476"/>
      <c r="M54" s="476"/>
      <c r="N54" s="462"/>
      <c r="O54" s="464"/>
    </row>
    <row r="55" spans="2:13" ht="17.25">
      <c r="B55" s="482"/>
      <c r="C55" s="462"/>
      <c r="D55" s="462"/>
      <c r="E55" s="476"/>
      <c r="F55" s="462"/>
      <c r="G55" s="464"/>
      <c r="H55" s="434"/>
      <c r="I55" s="434"/>
      <c r="J55" s="434"/>
      <c r="L55" s="433"/>
      <c r="M55" s="433"/>
    </row>
    <row r="56" spans="2:13" ht="17.25">
      <c r="B56" s="465"/>
      <c r="D56" s="293"/>
      <c r="E56" s="293"/>
      <c r="H56" s="434"/>
      <c r="I56" s="434"/>
      <c r="J56" s="434"/>
      <c r="L56" s="433"/>
      <c r="M56" s="433"/>
    </row>
    <row r="57" spans="2:13" ht="17.25">
      <c r="B57" s="434"/>
      <c r="H57" s="434"/>
      <c r="I57" s="434"/>
      <c r="J57" s="434"/>
      <c r="L57" s="433"/>
      <c r="M57" s="433"/>
    </row>
    <row r="58" spans="2:13" ht="18">
      <c r="B58" s="434"/>
      <c r="E58" s="449" t="s">
        <v>960</v>
      </c>
      <c r="F58" s="449"/>
      <c r="G58" s="450"/>
      <c r="I58" s="434"/>
      <c r="J58" s="434"/>
      <c r="L58" s="449" t="s">
        <v>961</v>
      </c>
      <c r="M58" s="449"/>
    </row>
    <row r="59" spans="2:15" ht="17.25">
      <c r="B59" s="434"/>
      <c r="C59" s="451" t="s">
        <v>381</v>
      </c>
      <c r="D59" s="452" t="s">
        <v>904</v>
      </c>
      <c r="E59" s="453" t="s">
        <v>905</v>
      </c>
      <c r="F59" s="453" t="s">
        <v>906</v>
      </c>
      <c r="G59" s="454"/>
      <c r="H59" s="434"/>
      <c r="I59" s="434"/>
      <c r="J59" s="455" t="s">
        <v>907</v>
      </c>
      <c r="K59" s="455" t="s">
        <v>908</v>
      </c>
      <c r="L59" s="635" t="s">
        <v>909</v>
      </c>
      <c r="M59" s="635"/>
      <c r="N59" s="635"/>
      <c r="O59" s="635"/>
    </row>
    <row r="60" spans="2:15" ht="17.25">
      <c r="B60" s="434"/>
      <c r="C60" s="456"/>
      <c r="D60" s="457" t="s">
        <v>910</v>
      </c>
      <c r="E60" s="458" t="s">
        <v>911</v>
      </c>
      <c r="F60" s="459" t="s">
        <v>912</v>
      </c>
      <c r="G60" s="460"/>
      <c r="H60" s="434"/>
      <c r="I60" s="434"/>
      <c r="J60" s="461" t="s">
        <v>913</v>
      </c>
      <c r="K60" s="461" t="s">
        <v>914</v>
      </c>
      <c r="L60" s="455" t="s">
        <v>423</v>
      </c>
      <c r="M60" s="462" t="s">
        <v>460</v>
      </c>
      <c r="N60" s="463"/>
      <c r="O60" s="464"/>
    </row>
    <row r="61" spans="2:15" ht="17.25">
      <c r="B61" s="465"/>
      <c r="C61" s="456"/>
      <c r="D61" s="457" t="s">
        <v>915</v>
      </c>
      <c r="E61" s="457" t="s">
        <v>916</v>
      </c>
      <c r="F61" s="466" t="s">
        <v>421</v>
      </c>
      <c r="G61" s="460"/>
      <c r="H61" s="434"/>
      <c r="I61" s="434"/>
      <c r="J61" s="467">
        <v>0.375</v>
      </c>
      <c r="K61" s="485">
        <v>1</v>
      </c>
      <c r="L61" s="634" t="s">
        <v>962</v>
      </c>
      <c r="M61" s="634"/>
      <c r="N61" s="634"/>
      <c r="O61" s="634"/>
    </row>
    <row r="62" spans="2:15" ht="17.25">
      <c r="B62" s="434"/>
      <c r="C62" s="471"/>
      <c r="D62" s="472" t="s">
        <v>918</v>
      </c>
      <c r="E62" s="473" t="s">
        <v>422</v>
      </c>
      <c r="F62" s="474" t="s">
        <v>919</v>
      </c>
      <c r="G62" s="475"/>
      <c r="H62" s="434"/>
      <c r="I62" s="434"/>
      <c r="J62" s="467">
        <v>0.3888888888888889</v>
      </c>
      <c r="K62" s="485">
        <v>2</v>
      </c>
      <c r="L62" s="634"/>
      <c r="M62" s="634"/>
      <c r="N62" s="634"/>
      <c r="O62" s="634"/>
    </row>
    <row r="63" spans="2:15" ht="17.25">
      <c r="B63" s="434"/>
      <c r="D63" s="478"/>
      <c r="E63" s="478"/>
      <c r="F63" s="478"/>
      <c r="G63" s="479"/>
      <c r="H63" s="434"/>
      <c r="I63" s="434"/>
      <c r="J63" s="467">
        <v>0.402777777777778</v>
      </c>
      <c r="K63" s="485">
        <v>3</v>
      </c>
      <c r="L63" s="634"/>
      <c r="M63" s="634"/>
      <c r="N63" s="634"/>
      <c r="O63" s="634"/>
    </row>
    <row r="64" spans="2:15" ht="17.25">
      <c r="B64" s="434"/>
      <c r="D64" s="478"/>
      <c r="E64" s="478"/>
      <c r="F64" s="478"/>
      <c r="G64" s="479"/>
      <c r="H64" s="434"/>
      <c r="I64" s="434"/>
      <c r="J64" s="467">
        <v>0.416666666666667</v>
      </c>
      <c r="K64" s="455">
        <v>4</v>
      </c>
      <c r="L64" s="634"/>
      <c r="M64" s="634"/>
      <c r="N64" s="634"/>
      <c r="O64" s="634"/>
    </row>
    <row r="65" spans="2:15" ht="17.25">
      <c r="B65" s="434"/>
      <c r="F65" s="433"/>
      <c r="H65" s="434"/>
      <c r="I65" s="434"/>
      <c r="J65" s="482"/>
      <c r="K65" s="462"/>
      <c r="L65" s="634"/>
      <c r="M65" s="634"/>
      <c r="N65" s="634"/>
      <c r="O65" s="634"/>
    </row>
    <row r="66" spans="2:15" ht="17.25">
      <c r="B66" s="455" t="s">
        <v>907</v>
      </c>
      <c r="C66" s="455" t="s">
        <v>908</v>
      </c>
      <c r="D66" s="635" t="s">
        <v>909</v>
      </c>
      <c r="E66" s="635"/>
      <c r="F66" s="635"/>
      <c r="G66" s="635"/>
      <c r="H66" s="434"/>
      <c r="I66" s="434"/>
      <c r="J66" s="637" t="s">
        <v>923</v>
      </c>
      <c r="K66" s="637"/>
      <c r="L66" s="634"/>
      <c r="M66" s="634"/>
      <c r="N66" s="634"/>
      <c r="O66" s="634"/>
    </row>
    <row r="67" spans="2:15" ht="17.25">
      <c r="B67" s="461" t="s">
        <v>913</v>
      </c>
      <c r="C67" s="461" t="s">
        <v>914</v>
      </c>
      <c r="D67" s="462" t="s">
        <v>423</v>
      </c>
      <c r="E67" s="462" t="s">
        <v>460</v>
      </c>
      <c r="F67" s="463"/>
      <c r="G67" s="464"/>
      <c r="H67" s="434"/>
      <c r="I67" s="434"/>
      <c r="J67" s="467">
        <v>0.5833333333333334</v>
      </c>
      <c r="K67" s="485">
        <v>5</v>
      </c>
      <c r="L67" s="634"/>
      <c r="M67" s="634"/>
      <c r="N67" s="634"/>
      <c r="O67" s="634"/>
    </row>
    <row r="68" spans="2:15" ht="17.25">
      <c r="B68" s="482">
        <v>0.5833333333333334</v>
      </c>
      <c r="C68" s="462">
        <v>1</v>
      </c>
      <c r="D68" s="634" t="s">
        <v>962</v>
      </c>
      <c r="E68" s="634"/>
      <c r="F68" s="634"/>
      <c r="G68" s="634"/>
      <c r="H68" s="434"/>
      <c r="I68" s="434"/>
      <c r="J68" s="467">
        <v>0.5972222222222222</v>
      </c>
      <c r="K68" s="462">
        <v>6</v>
      </c>
      <c r="L68" s="634"/>
      <c r="M68" s="634"/>
      <c r="N68" s="634"/>
      <c r="O68" s="634"/>
    </row>
    <row r="69" spans="2:15" ht="17.25">
      <c r="B69" s="482">
        <v>0.5972222222222222</v>
      </c>
      <c r="C69" s="462">
        <v>2</v>
      </c>
      <c r="D69" s="634"/>
      <c r="E69" s="634"/>
      <c r="F69" s="634"/>
      <c r="G69" s="634"/>
      <c r="H69" s="434"/>
      <c r="I69" s="434"/>
      <c r="J69" s="467">
        <v>0.611111111111111</v>
      </c>
      <c r="K69" s="462">
        <v>7</v>
      </c>
      <c r="L69" s="634"/>
      <c r="M69" s="634"/>
      <c r="N69" s="634"/>
      <c r="O69" s="634"/>
    </row>
    <row r="70" spans="2:15" ht="17.25">
      <c r="B70" s="482">
        <v>0.611111111111111</v>
      </c>
      <c r="C70" s="462">
        <v>3</v>
      </c>
      <c r="D70" s="634"/>
      <c r="E70" s="634"/>
      <c r="F70" s="634"/>
      <c r="G70" s="634"/>
      <c r="H70" s="434"/>
      <c r="I70" s="434"/>
      <c r="J70" s="482">
        <v>0.625</v>
      </c>
      <c r="K70" s="462">
        <v>8</v>
      </c>
      <c r="L70" s="634"/>
      <c r="M70" s="634"/>
      <c r="N70" s="634"/>
      <c r="O70" s="634"/>
    </row>
    <row r="71" spans="2:15" ht="17.25">
      <c r="B71" s="482">
        <v>0.625</v>
      </c>
      <c r="C71" s="462">
        <v>4</v>
      </c>
      <c r="D71" s="634"/>
      <c r="E71" s="634"/>
      <c r="F71" s="634"/>
      <c r="G71" s="634"/>
      <c r="H71" s="434"/>
      <c r="I71" s="434"/>
      <c r="J71" s="482"/>
      <c r="K71" s="462"/>
      <c r="L71" s="476"/>
      <c r="M71" s="476"/>
      <c r="N71" s="476"/>
      <c r="O71" s="477"/>
    </row>
    <row r="72" spans="2:17" ht="17.25">
      <c r="B72" s="482"/>
      <c r="C72" s="462"/>
      <c r="D72" s="462"/>
      <c r="E72" s="476"/>
      <c r="F72" s="462"/>
      <c r="G72" s="464"/>
      <c r="H72" s="434"/>
      <c r="I72" s="434"/>
      <c r="J72" s="434"/>
      <c r="L72" s="433"/>
      <c r="M72" s="433"/>
      <c r="O72" s="433"/>
      <c r="P72"/>
      <c r="Q72"/>
    </row>
    <row r="73" spans="2:13" ht="17.25">
      <c r="B73" s="465"/>
      <c r="D73" s="293"/>
      <c r="E73" s="293"/>
      <c r="H73" s="434"/>
      <c r="I73" s="434"/>
      <c r="J73" s="434"/>
      <c r="L73" s="433"/>
      <c r="M73" s="433"/>
    </row>
    <row r="74" spans="2:13" ht="17.25">
      <c r="B74" s="434"/>
      <c r="H74" s="434"/>
      <c r="I74" s="434"/>
      <c r="J74" s="434"/>
      <c r="L74" s="433"/>
      <c r="M74" s="433"/>
    </row>
    <row r="75" spans="2:15" ht="18">
      <c r="B75" s="434"/>
      <c r="E75" s="449" t="s">
        <v>963</v>
      </c>
      <c r="F75" s="449"/>
      <c r="G75" s="450"/>
      <c r="H75" s="434"/>
      <c r="I75" s="434"/>
      <c r="J75" s="434"/>
      <c r="L75" s="449" t="s">
        <v>964</v>
      </c>
      <c r="M75" s="449"/>
      <c r="N75" s="449"/>
      <c r="O75" s="450"/>
    </row>
    <row r="76" spans="2:15" ht="17.25">
      <c r="B76" s="434"/>
      <c r="C76" s="451" t="s">
        <v>381</v>
      </c>
      <c r="D76" s="452" t="s">
        <v>904</v>
      </c>
      <c r="E76" s="453" t="s">
        <v>905</v>
      </c>
      <c r="F76" s="453" t="s">
        <v>906</v>
      </c>
      <c r="G76" s="454"/>
      <c r="H76" s="434"/>
      <c r="I76" s="434"/>
      <c r="J76" s="455" t="s">
        <v>907</v>
      </c>
      <c r="K76" s="455" t="s">
        <v>908</v>
      </c>
      <c r="L76" s="635" t="s">
        <v>909</v>
      </c>
      <c r="M76" s="635"/>
      <c r="N76" s="635"/>
      <c r="O76" s="635"/>
    </row>
    <row r="77" spans="2:15" ht="17.25">
      <c r="B77" s="434"/>
      <c r="C77" s="456"/>
      <c r="D77" s="457" t="s">
        <v>910</v>
      </c>
      <c r="E77" s="458" t="s">
        <v>911</v>
      </c>
      <c r="F77" s="459" t="s">
        <v>912</v>
      </c>
      <c r="G77" s="460"/>
      <c r="H77" s="434"/>
      <c r="I77" s="434"/>
      <c r="J77" s="461" t="s">
        <v>913</v>
      </c>
      <c r="K77" s="461" t="s">
        <v>914</v>
      </c>
      <c r="L77" s="462" t="s">
        <v>423</v>
      </c>
      <c r="M77" s="455" t="s">
        <v>460</v>
      </c>
      <c r="N77" s="463"/>
      <c r="O77" s="464"/>
    </row>
    <row r="78" spans="2:15" ht="17.25">
      <c r="B78" s="486"/>
      <c r="C78" s="456"/>
      <c r="D78" s="457" t="s">
        <v>915</v>
      </c>
      <c r="E78" s="457" t="s">
        <v>916</v>
      </c>
      <c r="F78" s="466" t="s">
        <v>421</v>
      </c>
      <c r="G78" s="460"/>
      <c r="H78" s="434"/>
      <c r="I78" s="434"/>
      <c r="J78" s="487">
        <v>0.375</v>
      </c>
      <c r="K78" s="462">
        <v>1</v>
      </c>
      <c r="L78" s="468" t="s">
        <v>965</v>
      </c>
      <c r="M78" s="462"/>
      <c r="N78" s="488"/>
      <c r="O78" s="470"/>
    </row>
    <row r="79" spans="2:15" ht="17.25">
      <c r="B79" s="434"/>
      <c r="C79" s="471"/>
      <c r="D79" s="472" t="s">
        <v>918</v>
      </c>
      <c r="E79" s="473" t="s">
        <v>422</v>
      </c>
      <c r="F79" s="474" t="s">
        <v>919</v>
      </c>
      <c r="G79" s="475"/>
      <c r="H79" s="434"/>
      <c r="I79" s="434"/>
      <c r="J79" s="487">
        <v>0.3888888888888889</v>
      </c>
      <c r="K79" s="462">
        <v>2</v>
      </c>
      <c r="L79" s="468" t="s">
        <v>966</v>
      </c>
      <c r="M79" s="462"/>
      <c r="N79" s="480"/>
      <c r="O79" s="477"/>
    </row>
    <row r="80" spans="2:15" ht="17.25">
      <c r="B80" s="434"/>
      <c r="D80" s="478"/>
      <c r="E80" s="478"/>
      <c r="F80" s="478"/>
      <c r="G80" s="479"/>
      <c r="H80" s="434"/>
      <c r="I80" s="434"/>
      <c r="J80" s="487">
        <v>0.402777777777778</v>
      </c>
      <c r="K80" s="462">
        <v>3</v>
      </c>
      <c r="L80" s="468" t="s">
        <v>967</v>
      </c>
      <c r="M80" s="462"/>
      <c r="N80" s="480"/>
      <c r="O80" s="477"/>
    </row>
    <row r="81" spans="2:15" ht="17.25">
      <c r="B81" s="434"/>
      <c r="D81" s="478"/>
      <c r="E81" s="478"/>
      <c r="F81" s="478"/>
      <c r="G81" s="479"/>
      <c r="H81" s="434"/>
      <c r="I81" s="434"/>
      <c r="J81" s="487">
        <v>0.416666666666667</v>
      </c>
      <c r="K81" s="455">
        <v>4</v>
      </c>
      <c r="L81" s="468" t="s">
        <v>968</v>
      </c>
      <c r="M81" s="462"/>
      <c r="N81" s="480"/>
      <c r="O81" s="477"/>
    </row>
    <row r="82" spans="2:15" ht="17.25">
      <c r="B82" s="434"/>
      <c r="F82" s="433"/>
      <c r="H82" s="434"/>
      <c r="I82" s="434"/>
      <c r="J82" s="489"/>
      <c r="K82" s="462"/>
      <c r="L82" s="490"/>
      <c r="M82" s="462"/>
      <c r="N82" s="480"/>
      <c r="O82" s="477"/>
    </row>
    <row r="83" spans="2:15" ht="17.25">
      <c r="B83" s="455" t="s">
        <v>907</v>
      </c>
      <c r="C83" s="455" t="s">
        <v>908</v>
      </c>
      <c r="D83" s="635" t="s">
        <v>909</v>
      </c>
      <c r="E83" s="635"/>
      <c r="F83" s="635"/>
      <c r="G83" s="635"/>
      <c r="H83" s="434"/>
      <c r="I83" s="434"/>
      <c r="J83" s="637" t="s">
        <v>923</v>
      </c>
      <c r="K83" s="637"/>
      <c r="L83" s="637"/>
      <c r="M83" s="637"/>
      <c r="N83" s="637"/>
      <c r="O83" s="637"/>
    </row>
    <row r="84" spans="2:15" ht="17.25">
      <c r="B84" s="461" t="s">
        <v>913</v>
      </c>
      <c r="C84" s="461" t="s">
        <v>914</v>
      </c>
      <c r="D84" s="462" t="s">
        <v>423</v>
      </c>
      <c r="E84" s="455" t="s">
        <v>460</v>
      </c>
      <c r="F84" s="463"/>
      <c r="G84" s="464"/>
      <c r="H84" s="434"/>
      <c r="I84" s="434"/>
      <c r="J84" s="487">
        <v>0.5833333333333334</v>
      </c>
      <c r="K84" s="462">
        <v>5</v>
      </c>
      <c r="L84" s="484" t="s">
        <v>969</v>
      </c>
      <c r="M84" s="462"/>
      <c r="N84" s="480"/>
      <c r="O84" s="477"/>
    </row>
    <row r="85" spans="2:15" ht="17.25">
      <c r="B85" s="489">
        <v>0.5833333333333334</v>
      </c>
      <c r="C85" s="462">
        <v>1</v>
      </c>
      <c r="D85" s="483" t="s">
        <v>970</v>
      </c>
      <c r="E85" s="462"/>
      <c r="F85" s="480"/>
      <c r="G85" s="470"/>
      <c r="I85" s="434"/>
      <c r="J85" s="487">
        <v>0.5972222222222222</v>
      </c>
      <c r="K85" s="462">
        <v>6</v>
      </c>
      <c r="L85" s="484" t="s">
        <v>971</v>
      </c>
      <c r="M85" s="462"/>
      <c r="N85" s="480"/>
      <c r="O85" s="477"/>
    </row>
    <row r="86" spans="2:15" ht="17.25">
      <c r="B86" s="489">
        <v>0.5972222222222222</v>
      </c>
      <c r="C86" s="462">
        <v>2</v>
      </c>
      <c r="D86" s="484" t="s">
        <v>972</v>
      </c>
      <c r="E86" s="462"/>
      <c r="F86" s="480"/>
      <c r="G86" s="470"/>
      <c r="I86" s="434"/>
      <c r="J86" s="487">
        <v>0.611111111111111</v>
      </c>
      <c r="K86" s="462">
        <v>7</v>
      </c>
      <c r="L86" s="484" t="s">
        <v>973</v>
      </c>
      <c r="M86" s="462"/>
      <c r="N86" s="480"/>
      <c r="O86" s="477"/>
    </row>
    <row r="87" spans="2:15" ht="17.25">
      <c r="B87" s="489">
        <v>0.611111111111111</v>
      </c>
      <c r="C87" s="462">
        <v>3</v>
      </c>
      <c r="D87" s="484" t="s">
        <v>974</v>
      </c>
      <c r="E87" s="462"/>
      <c r="F87" s="491"/>
      <c r="G87" s="464"/>
      <c r="H87" s="434"/>
      <c r="I87" s="434"/>
      <c r="J87" s="487">
        <v>0.625</v>
      </c>
      <c r="K87" s="455">
        <v>8</v>
      </c>
      <c r="L87" s="492" t="s">
        <v>975</v>
      </c>
      <c r="M87" s="493"/>
      <c r="N87" s="455"/>
      <c r="O87" s="494"/>
    </row>
    <row r="88" spans="2:15" ht="17.25">
      <c r="B88" s="489">
        <v>0.625</v>
      </c>
      <c r="C88" s="462">
        <v>4</v>
      </c>
      <c r="D88" s="484" t="s">
        <v>976</v>
      </c>
      <c r="E88" s="462"/>
      <c r="F88" s="491"/>
      <c r="G88" s="464"/>
      <c r="H88" s="434"/>
      <c r="I88" s="434"/>
      <c r="J88" s="489"/>
      <c r="K88" s="462"/>
      <c r="L88" s="462"/>
      <c r="M88" s="476"/>
      <c r="N88" s="462"/>
      <c r="O88" s="464"/>
    </row>
    <row r="89" spans="2:13" ht="17.25">
      <c r="B89" s="489"/>
      <c r="C89" s="462"/>
      <c r="D89" s="462"/>
      <c r="E89" s="495"/>
      <c r="F89" s="462"/>
      <c r="G89" s="464"/>
      <c r="H89" s="434"/>
      <c r="I89" s="434"/>
      <c r="J89" s="434"/>
      <c r="L89" s="433"/>
      <c r="M89" s="433"/>
    </row>
    <row r="90" spans="2:13" ht="17.25">
      <c r="B90" s="434"/>
      <c r="C90" s="435"/>
      <c r="L90" s="433"/>
      <c r="M90" s="433"/>
    </row>
    <row r="91" spans="2:13" ht="17.25">
      <c r="B91" s="434"/>
      <c r="C91" s="435"/>
      <c r="L91" s="433"/>
      <c r="M91" s="433"/>
    </row>
    <row r="92" spans="2:15" ht="18">
      <c r="B92" s="434"/>
      <c r="E92" s="449" t="s">
        <v>977</v>
      </c>
      <c r="F92" s="449"/>
      <c r="G92" s="450"/>
      <c r="H92" s="434"/>
      <c r="I92" s="434"/>
      <c r="J92" s="434"/>
      <c r="L92" s="449" t="s">
        <v>978</v>
      </c>
      <c r="M92" s="449"/>
      <c r="N92" s="449"/>
      <c r="O92" s="450"/>
    </row>
    <row r="93" spans="2:15" ht="17.25">
      <c r="B93" s="434"/>
      <c r="C93" s="451" t="s">
        <v>381</v>
      </c>
      <c r="D93" s="452" t="s">
        <v>904</v>
      </c>
      <c r="E93" s="453" t="s">
        <v>905</v>
      </c>
      <c r="F93" s="453" t="s">
        <v>906</v>
      </c>
      <c r="G93" s="454"/>
      <c r="H93" s="434"/>
      <c r="I93" s="434"/>
      <c r="J93" s="455" t="s">
        <v>907</v>
      </c>
      <c r="K93" s="455" t="s">
        <v>908</v>
      </c>
      <c r="L93" s="635" t="s">
        <v>909</v>
      </c>
      <c r="M93" s="635"/>
      <c r="N93" s="635"/>
      <c r="O93" s="635"/>
    </row>
    <row r="94" spans="2:15" ht="17.25">
      <c r="B94" s="434"/>
      <c r="C94" s="456"/>
      <c r="D94" s="457" t="s">
        <v>910</v>
      </c>
      <c r="E94" s="458" t="s">
        <v>911</v>
      </c>
      <c r="F94" s="459" t="s">
        <v>912</v>
      </c>
      <c r="G94" s="460"/>
      <c r="H94" s="434"/>
      <c r="I94" s="434"/>
      <c r="J94" s="496" t="s">
        <v>913</v>
      </c>
      <c r="K94" s="496" t="s">
        <v>914</v>
      </c>
      <c r="L94" s="455" t="s">
        <v>423</v>
      </c>
      <c r="M94" s="455" t="s">
        <v>460</v>
      </c>
      <c r="N94" s="493"/>
      <c r="O94" s="494"/>
    </row>
    <row r="95" spans="2:15" ht="17.25">
      <c r="B95" s="486"/>
      <c r="C95" s="456"/>
      <c r="D95" s="457" t="s">
        <v>915</v>
      </c>
      <c r="E95" s="457" t="s">
        <v>916</v>
      </c>
      <c r="F95" s="466" t="s">
        <v>421</v>
      </c>
      <c r="G95" s="460"/>
      <c r="H95" s="434"/>
      <c r="I95" s="434"/>
      <c r="J95" s="487">
        <v>0.375</v>
      </c>
      <c r="K95" s="485">
        <v>1</v>
      </c>
      <c r="L95" s="468" t="s">
        <v>979</v>
      </c>
      <c r="M95" s="476"/>
      <c r="N95" s="488"/>
      <c r="O95" s="470"/>
    </row>
    <row r="96" spans="2:15" ht="17.25">
      <c r="B96" s="434"/>
      <c r="C96" s="471"/>
      <c r="D96" s="472" t="s">
        <v>918</v>
      </c>
      <c r="E96" s="473" t="s">
        <v>422</v>
      </c>
      <c r="F96" s="474" t="s">
        <v>919</v>
      </c>
      <c r="G96" s="475"/>
      <c r="H96" s="434"/>
      <c r="I96" s="434"/>
      <c r="J96" s="487">
        <v>0.3888888888888889</v>
      </c>
      <c r="K96" s="485">
        <v>2</v>
      </c>
      <c r="L96" s="468" t="s">
        <v>980</v>
      </c>
      <c r="M96" s="476"/>
      <c r="N96" s="480"/>
      <c r="O96" s="477"/>
    </row>
    <row r="97" spans="2:15" ht="17.25">
      <c r="B97" s="434"/>
      <c r="D97" s="478"/>
      <c r="E97" s="478"/>
      <c r="F97" s="478"/>
      <c r="G97" s="479"/>
      <c r="H97" s="434"/>
      <c r="I97" s="434"/>
      <c r="J97" s="487">
        <v>0.402777777777778</v>
      </c>
      <c r="K97" s="485">
        <v>3</v>
      </c>
      <c r="L97" s="468" t="s">
        <v>981</v>
      </c>
      <c r="M97" s="497"/>
      <c r="N97" s="480"/>
      <c r="O97" s="477"/>
    </row>
    <row r="98" spans="2:15" ht="17.25">
      <c r="B98" s="434"/>
      <c r="D98" s="478"/>
      <c r="E98" s="478"/>
      <c r="F98" s="478"/>
      <c r="G98" s="479"/>
      <c r="H98" s="434"/>
      <c r="I98" s="434"/>
      <c r="J98" s="487">
        <v>0.416666666666667</v>
      </c>
      <c r="K98" s="455">
        <v>4</v>
      </c>
      <c r="L98" s="468" t="s">
        <v>982</v>
      </c>
      <c r="M98" s="476"/>
      <c r="N98" s="480"/>
      <c r="O98" s="477"/>
    </row>
    <row r="99" spans="2:15" ht="17.25">
      <c r="B99" s="434"/>
      <c r="F99" s="433"/>
      <c r="H99" s="434"/>
      <c r="I99" s="434"/>
      <c r="J99" s="489"/>
      <c r="K99" s="462"/>
      <c r="L99" s="498"/>
      <c r="M99" s="462"/>
      <c r="N99" s="480"/>
      <c r="O99" s="477"/>
    </row>
    <row r="100" spans="2:15" ht="17.25">
      <c r="B100" s="455" t="s">
        <v>907</v>
      </c>
      <c r="C100" s="455" t="s">
        <v>908</v>
      </c>
      <c r="D100" s="635" t="s">
        <v>909</v>
      </c>
      <c r="E100" s="635"/>
      <c r="F100" s="635"/>
      <c r="G100" s="635"/>
      <c r="H100" s="434"/>
      <c r="I100" s="434"/>
      <c r="J100" s="637" t="s">
        <v>923</v>
      </c>
      <c r="K100" s="637"/>
      <c r="L100" s="637"/>
      <c r="M100" s="637"/>
      <c r="N100" s="637"/>
      <c r="O100" s="637"/>
    </row>
    <row r="101" spans="2:15" ht="17.25">
      <c r="B101" s="461" t="s">
        <v>913</v>
      </c>
      <c r="C101" s="461" t="s">
        <v>914</v>
      </c>
      <c r="D101" s="455" t="s">
        <v>423</v>
      </c>
      <c r="E101" s="455" t="s">
        <v>460</v>
      </c>
      <c r="F101" s="463"/>
      <c r="G101" s="464"/>
      <c r="H101" s="434"/>
      <c r="I101" s="434"/>
      <c r="J101" s="487">
        <v>0.5833333333333334</v>
      </c>
      <c r="K101" s="485">
        <v>5</v>
      </c>
      <c r="L101" s="468" t="s">
        <v>983</v>
      </c>
      <c r="M101" s="462"/>
      <c r="N101" s="480"/>
      <c r="O101" s="477"/>
    </row>
    <row r="102" spans="2:15" ht="17.25">
      <c r="B102" s="489">
        <v>0.5833333333333334</v>
      </c>
      <c r="C102" s="485">
        <v>1</v>
      </c>
      <c r="D102" s="483" t="s">
        <v>984</v>
      </c>
      <c r="E102" s="462"/>
      <c r="F102" s="480"/>
      <c r="G102" s="470"/>
      <c r="H102" s="434"/>
      <c r="I102" s="434"/>
      <c r="J102" s="487">
        <v>0.5972222222222222</v>
      </c>
      <c r="K102" s="485">
        <v>6</v>
      </c>
      <c r="L102" s="468" t="s">
        <v>985</v>
      </c>
      <c r="M102" s="462"/>
      <c r="N102" s="480"/>
      <c r="O102" s="477"/>
    </row>
    <row r="103" spans="2:15" ht="17.25">
      <c r="B103" s="489">
        <v>0.5972222222222222</v>
      </c>
      <c r="C103" s="485">
        <v>2</v>
      </c>
      <c r="D103" s="483" t="s">
        <v>986</v>
      </c>
      <c r="E103" s="462"/>
      <c r="F103" s="480"/>
      <c r="G103" s="470"/>
      <c r="H103" s="434"/>
      <c r="I103" s="434"/>
      <c r="J103" s="487">
        <v>0.611111111111111</v>
      </c>
      <c r="K103" s="485">
        <v>7</v>
      </c>
      <c r="L103" s="468" t="s">
        <v>987</v>
      </c>
      <c r="M103" s="462"/>
      <c r="N103" s="480"/>
      <c r="O103" s="477"/>
    </row>
    <row r="104" spans="2:15" ht="17.25">
      <c r="B104" s="489">
        <v>0.611111111111111</v>
      </c>
      <c r="C104" s="485">
        <v>3</v>
      </c>
      <c r="D104" s="483" t="s">
        <v>988</v>
      </c>
      <c r="E104" s="462"/>
      <c r="F104" s="491"/>
      <c r="G104" s="464"/>
      <c r="H104" s="434"/>
      <c r="I104" s="434"/>
      <c r="J104" s="487"/>
      <c r="K104" s="485"/>
      <c r="L104" s="462"/>
      <c r="M104" s="462"/>
      <c r="N104" s="469"/>
      <c r="O104" s="464"/>
    </row>
    <row r="105" spans="2:15" ht="17.25">
      <c r="B105" s="489">
        <v>0.625</v>
      </c>
      <c r="C105" s="485">
        <v>4</v>
      </c>
      <c r="D105" s="483" t="s">
        <v>989</v>
      </c>
      <c r="E105" s="462"/>
      <c r="F105" s="491"/>
      <c r="G105" s="464"/>
      <c r="H105" s="434"/>
      <c r="I105" s="434"/>
      <c r="J105" s="489"/>
      <c r="K105" s="462"/>
      <c r="L105" s="495"/>
      <c r="M105" s="476"/>
      <c r="N105" s="462"/>
      <c r="O105" s="464"/>
    </row>
    <row r="106" spans="2:13" ht="17.25">
      <c r="B106" s="489">
        <v>0.638888888888889</v>
      </c>
      <c r="C106" s="462">
        <v>5</v>
      </c>
      <c r="D106" s="483" t="s">
        <v>990</v>
      </c>
      <c r="E106" s="495"/>
      <c r="F106" s="462"/>
      <c r="G106" s="464"/>
      <c r="H106" s="434"/>
      <c r="I106" s="434"/>
      <c r="J106" s="434"/>
      <c r="L106" s="433"/>
      <c r="M106" s="433"/>
    </row>
    <row r="107" spans="2:13" ht="17.25">
      <c r="B107" s="434"/>
      <c r="C107" s="435"/>
      <c r="L107" s="433"/>
      <c r="M107" s="433"/>
    </row>
    <row r="108" spans="2:13" ht="17.25">
      <c r="B108" s="434"/>
      <c r="C108" s="435"/>
      <c r="L108" s="433"/>
      <c r="M108" s="433"/>
    </row>
    <row r="109" spans="2:15" ht="18">
      <c r="B109" s="434"/>
      <c r="E109" s="449" t="s">
        <v>991</v>
      </c>
      <c r="F109" s="449"/>
      <c r="G109" s="450"/>
      <c r="H109" s="450"/>
      <c r="I109" s="450"/>
      <c r="J109" s="434"/>
      <c r="L109" s="449" t="s">
        <v>992</v>
      </c>
      <c r="M109" s="449"/>
      <c r="N109" s="449"/>
      <c r="O109" s="450"/>
    </row>
    <row r="110" spans="2:15" ht="17.25">
      <c r="B110" s="434"/>
      <c r="C110" s="451" t="s">
        <v>381</v>
      </c>
      <c r="D110" s="452" t="s">
        <v>904</v>
      </c>
      <c r="E110" s="453" t="s">
        <v>905</v>
      </c>
      <c r="F110" s="453" t="s">
        <v>906</v>
      </c>
      <c r="G110" s="454"/>
      <c r="H110" s="434"/>
      <c r="I110" s="434"/>
      <c r="J110" s="455" t="s">
        <v>907</v>
      </c>
      <c r="K110" s="455" t="s">
        <v>908</v>
      </c>
      <c r="L110" s="635" t="s">
        <v>909</v>
      </c>
      <c r="M110" s="635"/>
      <c r="N110" s="635"/>
      <c r="O110" s="635"/>
    </row>
    <row r="111" spans="2:15" ht="17.25">
      <c r="B111" s="434"/>
      <c r="C111" s="456"/>
      <c r="D111" s="457" t="s">
        <v>910</v>
      </c>
      <c r="E111" s="458" t="s">
        <v>911</v>
      </c>
      <c r="F111" s="459" t="s">
        <v>912</v>
      </c>
      <c r="G111" s="460"/>
      <c r="H111" s="434"/>
      <c r="I111" s="434"/>
      <c r="J111" s="461" t="s">
        <v>913</v>
      </c>
      <c r="K111" s="461" t="s">
        <v>914</v>
      </c>
      <c r="L111" s="462" t="s">
        <v>423</v>
      </c>
      <c r="M111" s="462" t="s">
        <v>460</v>
      </c>
      <c r="N111" s="463"/>
      <c r="O111" s="464"/>
    </row>
    <row r="112" spans="2:15" ht="17.25">
      <c r="B112" s="486"/>
      <c r="C112" s="456"/>
      <c r="D112" s="457" t="s">
        <v>915</v>
      </c>
      <c r="E112" s="457" t="s">
        <v>916</v>
      </c>
      <c r="F112" s="466" t="s">
        <v>421</v>
      </c>
      <c r="G112" s="460"/>
      <c r="H112" s="434"/>
      <c r="I112" s="434"/>
      <c r="J112" s="487">
        <v>0.375</v>
      </c>
      <c r="K112" s="462">
        <v>1</v>
      </c>
      <c r="L112" s="468" t="s">
        <v>814</v>
      </c>
      <c r="M112" s="462"/>
      <c r="N112" s="469"/>
      <c r="O112" s="470"/>
    </row>
    <row r="113" spans="2:15" ht="17.25">
      <c r="B113" s="434"/>
      <c r="C113" s="471"/>
      <c r="D113" s="472" t="s">
        <v>918</v>
      </c>
      <c r="E113" s="473" t="s">
        <v>422</v>
      </c>
      <c r="F113" s="474" t="s">
        <v>919</v>
      </c>
      <c r="G113" s="475"/>
      <c r="H113" s="434"/>
      <c r="I113" s="434"/>
      <c r="J113" s="487">
        <v>0.3888888888888889</v>
      </c>
      <c r="K113" s="462">
        <v>2</v>
      </c>
      <c r="L113" s="468" t="s">
        <v>818</v>
      </c>
      <c r="N113" s="476"/>
      <c r="O113" s="477"/>
    </row>
    <row r="114" spans="2:15" ht="17.25">
      <c r="B114" s="434"/>
      <c r="D114" s="478"/>
      <c r="E114" s="478"/>
      <c r="F114" s="478"/>
      <c r="G114" s="479"/>
      <c r="H114" s="434"/>
      <c r="I114" s="434"/>
      <c r="J114" s="487">
        <v>0.402777777777778</v>
      </c>
      <c r="K114" s="462">
        <v>3</v>
      </c>
      <c r="L114" s="468" t="s">
        <v>381</v>
      </c>
      <c r="M114" s="462"/>
      <c r="N114" s="476"/>
      <c r="O114" s="477"/>
    </row>
    <row r="115" spans="2:15" ht="17.25">
      <c r="B115" s="434"/>
      <c r="D115" s="478"/>
      <c r="E115" s="478"/>
      <c r="F115" s="478"/>
      <c r="G115" s="479"/>
      <c r="H115" s="434"/>
      <c r="I115" s="434"/>
      <c r="J115" s="487">
        <v>0.416666666666667</v>
      </c>
      <c r="K115" s="455">
        <v>4</v>
      </c>
      <c r="L115" s="468" t="s">
        <v>387</v>
      </c>
      <c r="M115" s="462"/>
      <c r="N115" s="476"/>
      <c r="O115" s="477"/>
    </row>
    <row r="116" spans="2:15" ht="17.25">
      <c r="B116" s="434"/>
      <c r="F116" s="433"/>
      <c r="H116" s="434"/>
      <c r="I116" s="434"/>
      <c r="J116" s="489"/>
      <c r="K116" s="462"/>
      <c r="L116" s="490"/>
      <c r="M116" s="462"/>
      <c r="N116" s="476"/>
      <c r="O116" s="477"/>
    </row>
    <row r="117" spans="2:15" ht="17.25">
      <c r="B117" s="455" t="s">
        <v>907</v>
      </c>
      <c r="C117" s="455" t="s">
        <v>908</v>
      </c>
      <c r="D117" s="635" t="s">
        <v>909</v>
      </c>
      <c r="E117" s="635"/>
      <c r="F117" s="635"/>
      <c r="G117" s="635"/>
      <c r="H117" s="434"/>
      <c r="I117" s="434"/>
      <c r="J117" s="637" t="s">
        <v>923</v>
      </c>
      <c r="K117" s="637"/>
      <c r="L117" s="637"/>
      <c r="M117" s="637"/>
      <c r="N117" s="637"/>
      <c r="O117" s="637"/>
    </row>
    <row r="118" spans="2:15" ht="17.25">
      <c r="B118" s="461" t="s">
        <v>913</v>
      </c>
      <c r="C118" s="461" t="s">
        <v>914</v>
      </c>
      <c r="D118" s="462" t="s">
        <v>423</v>
      </c>
      <c r="E118" s="462" t="s">
        <v>460</v>
      </c>
      <c r="F118" s="463"/>
      <c r="G118" s="464"/>
      <c r="H118" s="434"/>
      <c r="I118" s="434"/>
      <c r="J118" s="487">
        <v>0.5625</v>
      </c>
      <c r="K118" s="485">
        <v>5</v>
      </c>
      <c r="L118" s="483" t="s">
        <v>816</v>
      </c>
      <c r="M118" s="462"/>
      <c r="N118" s="476"/>
      <c r="O118" s="477"/>
    </row>
    <row r="119" spans="2:15" ht="17.25">
      <c r="B119" s="489">
        <v>0.5833333333333334</v>
      </c>
      <c r="C119" s="462">
        <v>1</v>
      </c>
      <c r="D119" s="468" t="s">
        <v>993</v>
      </c>
      <c r="E119" s="468" t="s">
        <v>994</v>
      </c>
      <c r="F119" s="476"/>
      <c r="G119" s="470"/>
      <c r="H119" s="434"/>
      <c r="I119" s="434"/>
      <c r="J119" s="487">
        <v>0.576388888888889</v>
      </c>
      <c r="K119" s="485">
        <v>6</v>
      </c>
      <c r="L119" s="483" t="s">
        <v>384</v>
      </c>
      <c r="M119" s="462"/>
      <c r="N119" s="476"/>
      <c r="O119" s="477"/>
    </row>
    <row r="120" spans="2:15" ht="17.25">
      <c r="B120" s="489">
        <v>0.5972222222222222</v>
      </c>
      <c r="C120" s="462">
        <v>2</v>
      </c>
      <c r="D120" s="468" t="s">
        <v>995</v>
      </c>
      <c r="E120" s="499" t="s">
        <v>996</v>
      </c>
      <c r="F120" s="476"/>
      <c r="G120" s="470"/>
      <c r="H120" s="434"/>
      <c r="I120" s="434"/>
      <c r="J120" s="487">
        <v>0.5902777777777778</v>
      </c>
      <c r="K120" s="485">
        <v>7</v>
      </c>
      <c r="L120" s="483" t="s">
        <v>390</v>
      </c>
      <c r="M120" s="462"/>
      <c r="N120" s="480"/>
      <c r="O120" s="477"/>
    </row>
    <row r="121" spans="2:15" ht="17.25">
      <c r="B121" s="489">
        <v>0.611111111111111</v>
      </c>
      <c r="C121" s="462">
        <v>3</v>
      </c>
      <c r="D121" s="468" t="s">
        <v>997</v>
      </c>
      <c r="E121" s="483" t="s">
        <v>998</v>
      </c>
      <c r="F121" s="462"/>
      <c r="G121" s="464"/>
      <c r="H121" s="434"/>
      <c r="I121" s="434"/>
      <c r="J121" s="487">
        <v>0.6041666666666666</v>
      </c>
      <c r="K121" s="485">
        <v>8</v>
      </c>
      <c r="L121" s="483" t="s">
        <v>820</v>
      </c>
      <c r="M121" s="462"/>
      <c r="N121" s="500"/>
      <c r="O121" s="494"/>
    </row>
    <row r="122" spans="2:15" ht="17.25">
      <c r="B122" s="489">
        <v>0.625</v>
      </c>
      <c r="C122" s="462">
        <v>4</v>
      </c>
      <c r="D122" s="501" t="s">
        <v>999</v>
      </c>
      <c r="E122" s="483" t="s">
        <v>1000</v>
      </c>
      <c r="F122" s="462"/>
      <c r="G122" s="464"/>
      <c r="H122" s="434"/>
      <c r="I122" s="434"/>
      <c r="J122" s="489"/>
      <c r="K122" s="462"/>
      <c r="L122" s="462"/>
      <c r="M122" s="476"/>
      <c r="N122" s="462"/>
      <c r="O122" s="464"/>
    </row>
    <row r="123" spans="2:13" ht="17.25">
      <c r="B123" s="489"/>
      <c r="C123" s="485"/>
      <c r="D123" s="462"/>
      <c r="E123" s="462"/>
      <c r="F123" s="462"/>
      <c r="G123" s="464"/>
      <c r="H123" s="434"/>
      <c r="I123" s="434"/>
      <c r="J123" s="434"/>
      <c r="L123" s="433"/>
      <c r="M123" s="433"/>
    </row>
    <row r="124" spans="3:13" ht="17.25">
      <c r="C124" s="435"/>
      <c r="L124" s="433"/>
      <c r="M124" s="433"/>
    </row>
    <row r="125" spans="3:13" ht="17.25">
      <c r="C125" s="435"/>
      <c r="L125" s="433"/>
      <c r="M125" s="433"/>
    </row>
    <row r="126" spans="2:15" ht="18">
      <c r="B126" s="434"/>
      <c r="E126" s="449" t="s">
        <v>1001</v>
      </c>
      <c r="F126" s="449"/>
      <c r="G126" s="502"/>
      <c r="I126" s="434"/>
      <c r="J126" s="434"/>
      <c r="L126" s="449" t="s">
        <v>1002</v>
      </c>
      <c r="M126" s="449"/>
      <c r="N126" s="449"/>
      <c r="O126" s="502"/>
    </row>
    <row r="127" spans="2:15" ht="17.25">
      <c r="B127" s="434"/>
      <c r="C127" s="451" t="s">
        <v>381</v>
      </c>
      <c r="D127" s="452" t="s">
        <v>904</v>
      </c>
      <c r="E127" s="453" t="s">
        <v>905</v>
      </c>
      <c r="F127" s="453" t="s">
        <v>906</v>
      </c>
      <c r="G127" s="454"/>
      <c r="H127" s="434"/>
      <c r="I127" s="434"/>
      <c r="J127" s="455" t="s">
        <v>907</v>
      </c>
      <c r="K127" s="455" t="s">
        <v>908</v>
      </c>
      <c r="L127" s="635" t="s">
        <v>909</v>
      </c>
      <c r="M127" s="635"/>
      <c r="N127" s="635"/>
      <c r="O127" s="635"/>
    </row>
    <row r="128" spans="2:15" ht="17.25">
      <c r="B128" s="434"/>
      <c r="C128" s="456"/>
      <c r="D128" s="457" t="s">
        <v>910</v>
      </c>
      <c r="E128" s="458" t="s">
        <v>911</v>
      </c>
      <c r="F128" s="459" t="s">
        <v>912</v>
      </c>
      <c r="G128" s="460"/>
      <c r="H128" s="434"/>
      <c r="I128" s="434"/>
      <c r="J128" s="496" t="s">
        <v>913</v>
      </c>
      <c r="K128" s="496" t="s">
        <v>914</v>
      </c>
      <c r="L128" s="455" t="s">
        <v>423</v>
      </c>
      <c r="M128" s="455" t="s">
        <v>460</v>
      </c>
      <c r="N128" s="493"/>
      <c r="O128" s="494"/>
    </row>
    <row r="129" spans="2:15" ht="17.25">
      <c r="B129" s="486"/>
      <c r="C129" s="456"/>
      <c r="D129" s="457" t="s">
        <v>915</v>
      </c>
      <c r="E129" s="457" t="s">
        <v>916</v>
      </c>
      <c r="F129" s="466" t="s">
        <v>421</v>
      </c>
      <c r="G129" s="460"/>
      <c r="H129" s="434"/>
      <c r="I129" s="434"/>
      <c r="J129" s="489">
        <v>0.375</v>
      </c>
      <c r="K129" s="462">
        <v>1</v>
      </c>
      <c r="L129" s="503" t="s">
        <v>1003</v>
      </c>
      <c r="M129" s="503" t="s">
        <v>1004</v>
      </c>
      <c r="N129" s="469"/>
      <c r="O129" s="470"/>
    </row>
    <row r="130" spans="2:15" ht="17.25">
      <c r="B130" s="434"/>
      <c r="C130" s="471"/>
      <c r="D130" s="472" t="s">
        <v>918</v>
      </c>
      <c r="E130" s="473" t="s">
        <v>422</v>
      </c>
      <c r="F130" s="474" t="s">
        <v>919</v>
      </c>
      <c r="G130" s="475"/>
      <c r="H130" s="434"/>
      <c r="I130" s="434"/>
      <c r="J130" s="489">
        <v>0.3888888888888889</v>
      </c>
      <c r="K130" s="462">
        <v>2</v>
      </c>
      <c r="L130" s="503" t="s">
        <v>1005</v>
      </c>
      <c r="M130" s="503" t="s">
        <v>1006</v>
      </c>
      <c r="N130" s="476"/>
      <c r="O130" s="470"/>
    </row>
    <row r="131" spans="2:15" ht="17.25">
      <c r="B131" s="434"/>
      <c r="D131" s="478"/>
      <c r="E131" s="478"/>
      <c r="F131" s="478"/>
      <c r="G131" s="479"/>
      <c r="H131" s="434"/>
      <c r="I131" s="434"/>
      <c r="J131" s="489">
        <v>0.402777777777778</v>
      </c>
      <c r="K131" s="462">
        <v>3</v>
      </c>
      <c r="L131" s="503" t="s">
        <v>1007</v>
      </c>
      <c r="M131" s="503" t="s">
        <v>1008</v>
      </c>
      <c r="N131" s="476"/>
      <c r="O131" s="470"/>
    </row>
    <row r="132" spans="2:15" ht="17.25">
      <c r="B132" s="434"/>
      <c r="D132" s="478"/>
      <c r="E132" s="478"/>
      <c r="F132" s="478"/>
      <c r="G132" s="479"/>
      <c r="H132" s="434"/>
      <c r="I132" s="434"/>
      <c r="J132" s="489">
        <v>0.416666666666667</v>
      </c>
      <c r="K132" s="462">
        <v>4</v>
      </c>
      <c r="L132" s="503" t="s">
        <v>1009</v>
      </c>
      <c r="M132" s="503" t="s">
        <v>1010</v>
      </c>
      <c r="N132" s="476"/>
      <c r="O132" s="470"/>
    </row>
    <row r="133" spans="2:15" ht="17.25">
      <c r="B133" s="434"/>
      <c r="F133" s="433"/>
      <c r="H133" s="434"/>
      <c r="I133" s="434"/>
      <c r="J133" s="489"/>
      <c r="K133" s="462"/>
      <c r="L133" s="462"/>
      <c r="M133" s="462"/>
      <c r="N133" s="476"/>
      <c r="O133" s="470"/>
    </row>
    <row r="134" spans="2:15" ht="17.25">
      <c r="B134" s="455" t="s">
        <v>907</v>
      </c>
      <c r="C134" s="455" t="s">
        <v>908</v>
      </c>
      <c r="D134" s="635" t="s">
        <v>909</v>
      </c>
      <c r="E134" s="635"/>
      <c r="F134" s="635"/>
      <c r="G134" s="635"/>
      <c r="H134" s="434"/>
      <c r="I134" s="434"/>
      <c r="J134" s="637" t="s">
        <v>923</v>
      </c>
      <c r="K134" s="637"/>
      <c r="L134" s="637"/>
      <c r="M134" s="637"/>
      <c r="N134" s="637"/>
      <c r="O134" s="637"/>
    </row>
    <row r="135" spans="2:15" ht="17.25">
      <c r="B135" s="461" t="s">
        <v>913</v>
      </c>
      <c r="C135" s="496" t="s">
        <v>914</v>
      </c>
      <c r="D135" s="455" t="s">
        <v>423</v>
      </c>
      <c r="E135" s="455" t="s">
        <v>460</v>
      </c>
      <c r="F135" s="493"/>
      <c r="G135" s="464"/>
      <c r="H135" s="434"/>
      <c r="I135" s="434"/>
      <c r="J135" s="489">
        <v>0.5833333333333334</v>
      </c>
      <c r="K135" s="462">
        <v>5</v>
      </c>
      <c r="L135" s="504" t="s">
        <v>1011</v>
      </c>
      <c r="M135" s="504" t="s">
        <v>1012</v>
      </c>
      <c r="N135" s="476"/>
      <c r="O135" s="470"/>
    </row>
    <row r="136" spans="2:15" ht="17.25">
      <c r="B136" s="505">
        <v>0.5833333333333334</v>
      </c>
      <c r="C136" s="462">
        <v>1</v>
      </c>
      <c r="D136" s="503" t="s">
        <v>1013</v>
      </c>
      <c r="E136" s="503" t="s">
        <v>1014</v>
      </c>
      <c r="F136" s="476"/>
      <c r="G136" s="477"/>
      <c r="H136" s="434"/>
      <c r="I136" s="434"/>
      <c r="J136" s="489">
        <v>0.5972222222222222</v>
      </c>
      <c r="K136" s="462">
        <v>6</v>
      </c>
      <c r="L136" s="504" t="s">
        <v>1015</v>
      </c>
      <c r="M136" s="504" t="s">
        <v>1016</v>
      </c>
      <c r="N136" s="476"/>
      <c r="O136" s="470"/>
    </row>
    <row r="137" spans="2:15" ht="17.25">
      <c r="B137" s="505">
        <v>0.5972222222222222</v>
      </c>
      <c r="C137" s="462">
        <v>2</v>
      </c>
      <c r="D137" s="503" t="s">
        <v>1017</v>
      </c>
      <c r="E137" s="503" t="s">
        <v>1018</v>
      </c>
      <c r="F137" s="476"/>
      <c r="G137" s="477"/>
      <c r="H137" s="434"/>
      <c r="I137" s="434"/>
      <c r="J137" s="489">
        <v>0.611111111111111</v>
      </c>
      <c r="K137" s="462">
        <v>7</v>
      </c>
      <c r="L137" s="503" t="s">
        <v>1019</v>
      </c>
      <c r="M137" s="503" t="s">
        <v>1020</v>
      </c>
      <c r="N137" s="476"/>
      <c r="O137" s="470"/>
    </row>
    <row r="138" spans="2:15" ht="17.25">
      <c r="B138" s="505">
        <v>0.611111111111111</v>
      </c>
      <c r="C138" s="462">
        <v>3</v>
      </c>
      <c r="D138" s="503" t="s">
        <v>1021</v>
      </c>
      <c r="E138" s="503" t="s">
        <v>1022</v>
      </c>
      <c r="F138" s="462"/>
      <c r="G138" s="506"/>
      <c r="H138" s="434"/>
      <c r="I138" s="434"/>
      <c r="J138" s="489">
        <v>0.625</v>
      </c>
      <c r="K138" s="462">
        <v>8</v>
      </c>
      <c r="L138" s="503" t="s">
        <v>1023</v>
      </c>
      <c r="M138" s="503" t="s">
        <v>1024</v>
      </c>
      <c r="N138" s="462"/>
      <c r="O138" s="464"/>
    </row>
    <row r="139" spans="2:15" ht="17.25">
      <c r="B139" s="505">
        <v>0.625</v>
      </c>
      <c r="C139" s="462">
        <v>4</v>
      </c>
      <c r="D139" s="503" t="s">
        <v>1025</v>
      </c>
      <c r="E139" s="503" t="s">
        <v>1026</v>
      </c>
      <c r="F139" s="462"/>
      <c r="G139" s="506"/>
      <c r="H139" s="434"/>
      <c r="I139" s="434"/>
      <c r="J139" s="489"/>
      <c r="K139" s="462"/>
      <c r="L139" s="462"/>
      <c r="M139" s="462"/>
      <c r="N139" s="462"/>
      <c r="O139" s="464"/>
    </row>
    <row r="140" spans="2:10" ht="17.25">
      <c r="B140" s="489"/>
      <c r="C140" s="463"/>
      <c r="D140" s="462"/>
      <c r="E140" s="495"/>
      <c r="F140" s="463"/>
      <c r="G140" s="464"/>
      <c r="H140" s="434"/>
      <c r="I140" s="434"/>
      <c r="J140" s="434"/>
    </row>
    <row r="141" spans="3:13" ht="17.25">
      <c r="C141" s="435"/>
      <c r="L141" s="433"/>
      <c r="M141" s="433"/>
    </row>
    <row r="142" spans="3:13" ht="17.25">
      <c r="C142" s="435"/>
      <c r="L142" s="433"/>
      <c r="M142" s="433"/>
    </row>
    <row r="143" spans="2:15" ht="18">
      <c r="B143" s="434"/>
      <c r="E143" s="449" t="s">
        <v>1027</v>
      </c>
      <c r="F143" s="449"/>
      <c r="G143" s="502"/>
      <c r="J143" s="434"/>
      <c r="L143" s="449" t="s">
        <v>1028</v>
      </c>
      <c r="M143" s="449"/>
      <c r="N143" s="449"/>
      <c r="O143" s="502"/>
    </row>
    <row r="144" spans="2:15" ht="17.25">
      <c r="B144" s="434"/>
      <c r="C144" s="451" t="s">
        <v>381</v>
      </c>
      <c r="D144" s="452" t="s">
        <v>904</v>
      </c>
      <c r="E144" s="453" t="s">
        <v>905</v>
      </c>
      <c r="F144" s="453" t="s">
        <v>906</v>
      </c>
      <c r="G144" s="454"/>
      <c r="H144" s="434"/>
      <c r="I144" s="434"/>
      <c r="J144" s="455" t="s">
        <v>907</v>
      </c>
      <c r="K144" s="455" t="s">
        <v>908</v>
      </c>
      <c r="L144" s="635" t="s">
        <v>909</v>
      </c>
      <c r="M144" s="635"/>
      <c r="N144" s="635"/>
      <c r="O144" s="635"/>
    </row>
    <row r="145" spans="2:15" ht="17.25">
      <c r="B145" s="434"/>
      <c r="C145" s="456"/>
      <c r="D145" s="457" t="s">
        <v>910</v>
      </c>
      <c r="E145" s="458" t="s">
        <v>911</v>
      </c>
      <c r="F145" s="459" t="s">
        <v>912</v>
      </c>
      <c r="G145" s="460"/>
      <c r="H145" s="434"/>
      <c r="I145" s="434"/>
      <c r="J145" s="496" t="s">
        <v>913</v>
      </c>
      <c r="K145" s="496" t="s">
        <v>914</v>
      </c>
      <c r="L145" s="455" t="s">
        <v>423</v>
      </c>
      <c r="M145" s="455" t="s">
        <v>460</v>
      </c>
      <c r="N145" s="493"/>
      <c r="O145" s="494"/>
    </row>
    <row r="146" spans="2:15" ht="17.25">
      <c r="B146" s="486"/>
      <c r="C146" s="456"/>
      <c r="D146" s="457" t="s">
        <v>915</v>
      </c>
      <c r="E146" s="457" t="s">
        <v>916</v>
      </c>
      <c r="F146" s="466" t="s">
        <v>421</v>
      </c>
      <c r="G146" s="460"/>
      <c r="H146" s="434"/>
      <c r="I146" s="434"/>
      <c r="J146" s="489">
        <v>0.375</v>
      </c>
      <c r="K146" s="462">
        <v>1</v>
      </c>
      <c r="L146" s="523" t="s">
        <v>1029</v>
      </c>
      <c r="M146" s="523" t="s">
        <v>1030</v>
      </c>
      <c r="N146" s="469"/>
      <c r="O146" s="470"/>
    </row>
    <row r="147" spans="2:15" ht="17.25">
      <c r="B147" s="434"/>
      <c r="C147" s="471"/>
      <c r="D147" s="472" t="s">
        <v>918</v>
      </c>
      <c r="E147" s="473" t="s">
        <v>422</v>
      </c>
      <c r="F147" s="474" t="s">
        <v>919</v>
      </c>
      <c r="G147" s="475"/>
      <c r="H147" s="434"/>
      <c r="I147" s="434"/>
      <c r="J147" s="489">
        <v>0.3888888888888889</v>
      </c>
      <c r="K147" s="462">
        <v>2</v>
      </c>
      <c r="L147" s="523" t="s">
        <v>1031</v>
      </c>
      <c r="M147" s="523" t="s">
        <v>1032</v>
      </c>
      <c r="N147" s="476"/>
      <c r="O147" s="470"/>
    </row>
    <row r="148" spans="2:15" ht="17.25">
      <c r="B148" s="434"/>
      <c r="D148" s="478"/>
      <c r="E148" s="478"/>
      <c r="F148" s="478"/>
      <c r="G148" s="479"/>
      <c r="H148" s="434"/>
      <c r="I148" s="434"/>
      <c r="J148" s="489">
        <v>0.402777777777778</v>
      </c>
      <c r="K148" s="462">
        <v>3</v>
      </c>
      <c r="L148" s="523" t="s">
        <v>1033</v>
      </c>
      <c r="M148" s="523" t="s">
        <v>1034</v>
      </c>
      <c r="N148" s="476"/>
      <c r="O148" s="470"/>
    </row>
    <row r="149" spans="2:15" ht="17.25">
      <c r="B149" s="434"/>
      <c r="D149" s="478"/>
      <c r="E149" s="478"/>
      <c r="F149" s="478"/>
      <c r="G149" s="479"/>
      <c r="H149" s="434"/>
      <c r="I149" s="434"/>
      <c r="J149" s="489">
        <v>0.416666666666667</v>
      </c>
      <c r="K149" s="462">
        <v>4</v>
      </c>
      <c r="L149" s="523" t="s">
        <v>1035</v>
      </c>
      <c r="M149" s="523" t="s">
        <v>1036</v>
      </c>
      <c r="N149" s="476"/>
      <c r="O149" s="470"/>
    </row>
    <row r="150" spans="2:15" ht="17.25">
      <c r="B150" s="434"/>
      <c r="F150" s="433"/>
      <c r="H150" s="434"/>
      <c r="I150" s="434"/>
      <c r="J150" s="489"/>
      <c r="K150" s="462"/>
      <c r="L150" s="476"/>
      <c r="M150" s="507"/>
      <c r="N150" s="476"/>
      <c r="O150" s="470"/>
    </row>
    <row r="151" spans="2:15" ht="17.25">
      <c r="B151" s="455" t="s">
        <v>907</v>
      </c>
      <c r="C151" s="455" t="s">
        <v>908</v>
      </c>
      <c r="D151" s="635" t="s">
        <v>909</v>
      </c>
      <c r="E151" s="635"/>
      <c r="F151" s="635"/>
      <c r="G151" s="635"/>
      <c r="H151" s="434"/>
      <c r="I151" s="434"/>
      <c r="J151" s="637" t="s">
        <v>923</v>
      </c>
      <c r="K151" s="637"/>
      <c r="L151" s="637"/>
      <c r="M151" s="637"/>
      <c r="N151" s="637"/>
      <c r="O151" s="637"/>
    </row>
    <row r="152" spans="2:15" ht="17.25">
      <c r="B152" s="461" t="s">
        <v>913</v>
      </c>
      <c r="C152" s="496" t="s">
        <v>914</v>
      </c>
      <c r="D152" s="455" t="s">
        <v>423</v>
      </c>
      <c r="E152" s="455" t="s">
        <v>460</v>
      </c>
      <c r="F152" s="493"/>
      <c r="G152" s="464"/>
      <c r="H152" s="434"/>
      <c r="I152" s="434"/>
      <c r="J152" s="489">
        <v>0.5833333333333334</v>
      </c>
      <c r="K152" s="462">
        <v>5</v>
      </c>
      <c r="L152" s="524" t="s">
        <v>1037</v>
      </c>
      <c r="M152" s="524" t="s">
        <v>1038</v>
      </c>
      <c r="N152" s="469"/>
      <c r="O152" s="470"/>
    </row>
    <row r="153" spans="2:15" ht="17.25">
      <c r="B153" s="505">
        <v>0.5833333333333334</v>
      </c>
      <c r="C153" s="462">
        <v>1</v>
      </c>
      <c r="D153" s="523" t="s">
        <v>1039</v>
      </c>
      <c r="E153" s="523" t="s">
        <v>1040</v>
      </c>
      <c r="F153" s="476"/>
      <c r="G153" s="477"/>
      <c r="H153" s="434"/>
      <c r="I153" s="434"/>
      <c r="J153" s="489">
        <v>0.5972222222222222</v>
      </c>
      <c r="K153" s="462">
        <v>6</v>
      </c>
      <c r="L153" s="524" t="s">
        <v>1042</v>
      </c>
      <c r="M153" s="524" t="s">
        <v>1041</v>
      </c>
      <c r="N153" s="469"/>
      <c r="O153" s="470"/>
    </row>
    <row r="154" spans="2:15" ht="17.25">
      <c r="B154" s="505">
        <v>0.5972222222222222</v>
      </c>
      <c r="C154" s="462">
        <v>2</v>
      </c>
      <c r="D154" s="523" t="s">
        <v>1043</v>
      </c>
      <c r="E154" s="523" t="s">
        <v>1044</v>
      </c>
      <c r="F154" s="476"/>
      <c r="G154" s="477"/>
      <c r="H154" s="434"/>
      <c r="I154" s="434"/>
      <c r="J154" s="489">
        <v>0.611111111111111</v>
      </c>
      <c r="K154" s="462">
        <v>7</v>
      </c>
      <c r="L154" s="523" t="s">
        <v>1045</v>
      </c>
      <c r="M154" s="523" t="s">
        <v>1046</v>
      </c>
      <c r="N154" s="469"/>
      <c r="O154" s="470"/>
    </row>
    <row r="155" spans="2:15" ht="17.25">
      <c r="B155" s="489">
        <v>0.611111111111111</v>
      </c>
      <c r="C155" s="509">
        <v>3</v>
      </c>
      <c r="D155" s="523" t="s">
        <v>1047</v>
      </c>
      <c r="E155" s="523" t="s">
        <v>1048</v>
      </c>
      <c r="F155" s="462"/>
      <c r="G155" s="506"/>
      <c r="H155" s="434"/>
      <c r="I155" s="434"/>
      <c r="J155" s="489">
        <v>0.625</v>
      </c>
      <c r="K155" s="462">
        <v>8</v>
      </c>
      <c r="L155" s="523" t="s">
        <v>1049</v>
      </c>
      <c r="M155" s="523" t="s">
        <v>1050</v>
      </c>
      <c r="N155" s="469"/>
      <c r="O155" s="464"/>
    </row>
    <row r="156" spans="2:15" ht="17.25">
      <c r="B156" s="489">
        <v>0.625</v>
      </c>
      <c r="C156" s="485">
        <v>4</v>
      </c>
      <c r="D156" s="523" t="s">
        <v>1051</v>
      </c>
      <c r="E156" s="523" t="s">
        <v>1052</v>
      </c>
      <c r="F156" s="462"/>
      <c r="G156" s="506"/>
      <c r="H156" s="434"/>
      <c r="I156" s="434"/>
      <c r="J156" s="489"/>
      <c r="K156" s="462"/>
      <c r="L156" s="462"/>
      <c r="M156" s="476"/>
      <c r="N156" s="462"/>
      <c r="O156" s="464"/>
    </row>
    <row r="157" spans="2:13" ht="17.25">
      <c r="B157" s="489"/>
      <c r="C157" s="462"/>
      <c r="D157" s="495"/>
      <c r="E157" s="495"/>
      <c r="F157" s="463"/>
      <c r="G157" s="464"/>
      <c r="H157" s="434"/>
      <c r="I157" s="434"/>
      <c r="J157" s="434"/>
      <c r="L157" s="433"/>
      <c r="M157" s="433"/>
    </row>
    <row r="158" ht="17.25">
      <c r="C158" s="435"/>
    </row>
    <row r="159" spans="3:13" ht="17.25">
      <c r="C159" s="435"/>
      <c r="L159" s="433"/>
      <c r="M159" s="433"/>
    </row>
    <row r="160" spans="2:15" ht="18">
      <c r="B160" s="434"/>
      <c r="E160" s="449" t="s">
        <v>1053</v>
      </c>
      <c r="F160" s="449"/>
      <c r="G160" s="502"/>
      <c r="J160" s="434"/>
      <c r="L160" s="449" t="s">
        <v>1054</v>
      </c>
      <c r="M160" s="449"/>
      <c r="N160" s="449"/>
      <c r="O160" s="502"/>
    </row>
    <row r="161" spans="2:15" ht="17.25">
      <c r="B161" s="434"/>
      <c r="C161" s="451" t="s">
        <v>381</v>
      </c>
      <c r="D161" s="452" t="s">
        <v>904</v>
      </c>
      <c r="E161" s="453" t="s">
        <v>905</v>
      </c>
      <c r="F161" s="453" t="s">
        <v>906</v>
      </c>
      <c r="G161" s="454"/>
      <c r="H161" s="434"/>
      <c r="I161" s="434"/>
      <c r="J161" s="455" t="s">
        <v>907</v>
      </c>
      <c r="K161" s="455" t="s">
        <v>908</v>
      </c>
      <c r="L161" s="635" t="s">
        <v>909</v>
      </c>
      <c r="M161" s="635"/>
      <c r="N161" s="635"/>
      <c r="O161" s="635"/>
    </row>
    <row r="162" spans="2:15" ht="17.25">
      <c r="B162" s="434"/>
      <c r="C162" s="456"/>
      <c r="D162" s="457" t="s">
        <v>910</v>
      </c>
      <c r="E162" s="458" t="s">
        <v>911</v>
      </c>
      <c r="F162" s="459" t="s">
        <v>912</v>
      </c>
      <c r="G162" s="460"/>
      <c r="H162" s="434"/>
      <c r="I162" s="434"/>
      <c r="J162" s="461" t="s">
        <v>913</v>
      </c>
      <c r="K162" s="461" t="s">
        <v>914</v>
      </c>
      <c r="L162" s="455" t="s">
        <v>423</v>
      </c>
      <c r="M162" s="455" t="s">
        <v>460</v>
      </c>
      <c r="N162" s="463"/>
      <c r="O162" s="464"/>
    </row>
    <row r="163" spans="2:15" ht="17.25">
      <c r="B163" s="486"/>
      <c r="C163" s="456"/>
      <c r="D163" s="457" t="s">
        <v>915</v>
      </c>
      <c r="E163" s="457" t="s">
        <v>916</v>
      </c>
      <c r="F163" s="466" t="s">
        <v>421</v>
      </c>
      <c r="G163" s="460"/>
      <c r="H163" s="434"/>
      <c r="I163" s="434"/>
      <c r="J163" s="510">
        <v>0.375</v>
      </c>
      <c r="K163" s="511">
        <v>1</v>
      </c>
      <c r="L163" s="524" t="s">
        <v>1055</v>
      </c>
      <c r="M163" s="524" t="s">
        <v>1056</v>
      </c>
      <c r="N163" s="512"/>
      <c r="O163" s="513"/>
    </row>
    <row r="164" spans="2:15" ht="17.25">
      <c r="B164" s="434"/>
      <c r="C164" s="471"/>
      <c r="D164" s="472" t="s">
        <v>918</v>
      </c>
      <c r="E164" s="473" t="s">
        <v>422</v>
      </c>
      <c r="F164" s="474" t="s">
        <v>919</v>
      </c>
      <c r="G164" s="475"/>
      <c r="H164" s="434"/>
      <c r="I164" s="434"/>
      <c r="J164" s="510">
        <v>0.3888888888888889</v>
      </c>
      <c r="K164" s="511">
        <v>2</v>
      </c>
      <c r="L164" s="524" t="s">
        <v>1057</v>
      </c>
      <c r="M164" s="524" t="s">
        <v>1058</v>
      </c>
      <c r="N164" s="514"/>
      <c r="O164" s="515"/>
    </row>
    <row r="165" spans="2:15" ht="17.25">
      <c r="B165" s="434"/>
      <c r="D165" s="478"/>
      <c r="E165" s="478"/>
      <c r="F165" s="478"/>
      <c r="G165" s="479"/>
      <c r="H165" s="434"/>
      <c r="I165" s="434"/>
      <c r="J165" s="510">
        <v>0.402777777777778</v>
      </c>
      <c r="K165" s="511">
        <v>3</v>
      </c>
      <c r="L165" s="524" t="s">
        <v>1059</v>
      </c>
      <c r="M165" s="524" t="s">
        <v>1060</v>
      </c>
      <c r="N165" s="514"/>
      <c r="O165" s="515"/>
    </row>
    <row r="166" spans="2:15" ht="17.25">
      <c r="B166" s="434"/>
      <c r="D166" s="478"/>
      <c r="E166" s="478"/>
      <c r="F166" s="478"/>
      <c r="G166" s="479"/>
      <c r="H166" s="434"/>
      <c r="I166" s="434"/>
      <c r="J166" s="510">
        <v>0.416666666666667</v>
      </c>
      <c r="K166" s="516">
        <v>4</v>
      </c>
      <c r="L166" s="524" t="s">
        <v>1061</v>
      </c>
      <c r="M166" s="524" t="s">
        <v>1062</v>
      </c>
      <c r="N166" s="514"/>
      <c r="O166" s="515"/>
    </row>
    <row r="167" spans="2:15" ht="17.25">
      <c r="B167" s="434"/>
      <c r="F167" s="433"/>
      <c r="H167" s="434"/>
      <c r="I167" s="434"/>
      <c r="J167" s="517"/>
      <c r="K167" s="511"/>
      <c r="L167" s="518"/>
      <c r="M167" s="519"/>
      <c r="N167" s="514"/>
      <c r="O167" s="515"/>
    </row>
    <row r="168" spans="2:15" ht="17.25">
      <c r="B168" s="455" t="s">
        <v>907</v>
      </c>
      <c r="C168" s="455" t="s">
        <v>908</v>
      </c>
      <c r="D168" s="635" t="s">
        <v>909</v>
      </c>
      <c r="E168" s="635"/>
      <c r="F168" s="635"/>
      <c r="G168" s="635"/>
      <c r="H168" s="434"/>
      <c r="I168" s="434"/>
      <c r="J168" s="638" t="s">
        <v>923</v>
      </c>
      <c r="K168" s="638"/>
      <c r="L168" s="638"/>
      <c r="M168" s="638"/>
      <c r="N168" s="638"/>
      <c r="O168" s="638"/>
    </row>
    <row r="169" spans="2:15" ht="17.25">
      <c r="B169" s="461" t="s">
        <v>913</v>
      </c>
      <c r="C169" s="461" t="s">
        <v>914</v>
      </c>
      <c r="D169" s="455" t="s">
        <v>423</v>
      </c>
      <c r="E169" s="455" t="s">
        <v>460</v>
      </c>
      <c r="F169" s="463"/>
      <c r="G169" s="464"/>
      <c r="H169" s="434"/>
      <c r="I169" s="434"/>
      <c r="J169" s="510">
        <v>0.5833333333333334</v>
      </c>
      <c r="K169" s="511">
        <v>5</v>
      </c>
      <c r="L169" s="523" t="s">
        <v>1063</v>
      </c>
      <c r="M169" s="523" t="s">
        <v>1064</v>
      </c>
      <c r="N169" s="514"/>
      <c r="O169" s="515"/>
    </row>
    <row r="170" spans="2:15" ht="17.25">
      <c r="B170" s="489">
        <v>0.5833333333333334</v>
      </c>
      <c r="C170" s="485">
        <v>1</v>
      </c>
      <c r="D170" s="524" t="s">
        <v>1065</v>
      </c>
      <c r="E170" s="524" t="s">
        <v>1066</v>
      </c>
      <c r="F170" s="480"/>
      <c r="G170" s="470"/>
      <c r="H170" s="434"/>
      <c r="I170" s="434"/>
      <c r="J170" s="510">
        <v>0.5972222222222222</v>
      </c>
      <c r="K170" s="511">
        <v>6</v>
      </c>
      <c r="L170" s="523" t="s">
        <v>1067</v>
      </c>
      <c r="M170" s="523" t="s">
        <v>1068</v>
      </c>
      <c r="N170" s="514"/>
      <c r="O170" s="515"/>
    </row>
    <row r="171" spans="2:15" ht="17.25">
      <c r="B171" s="489">
        <v>0.5972222222222222</v>
      </c>
      <c r="C171" s="485">
        <v>2</v>
      </c>
      <c r="D171" s="524" t="s">
        <v>1069</v>
      </c>
      <c r="E171" s="524" t="s">
        <v>1070</v>
      </c>
      <c r="F171" s="480"/>
      <c r="G171" s="470"/>
      <c r="H171" s="434"/>
      <c r="I171" s="434"/>
      <c r="J171" s="510">
        <v>0.611111111111111</v>
      </c>
      <c r="K171" s="511">
        <v>7</v>
      </c>
      <c r="L171" s="524" t="s">
        <v>1071</v>
      </c>
      <c r="M171" s="524" t="s">
        <v>1072</v>
      </c>
      <c r="N171" s="514"/>
      <c r="O171" s="515"/>
    </row>
    <row r="172" spans="2:15" ht="17.25">
      <c r="B172" s="489">
        <v>0.611111111111111</v>
      </c>
      <c r="C172" s="485">
        <v>3</v>
      </c>
      <c r="D172" s="524" t="s">
        <v>1073</v>
      </c>
      <c r="E172" s="524" t="s">
        <v>1074</v>
      </c>
      <c r="F172" s="491"/>
      <c r="G172" s="464"/>
      <c r="H172" s="434"/>
      <c r="I172" s="434"/>
      <c r="J172" s="510">
        <v>0.625</v>
      </c>
      <c r="K172" s="516">
        <v>8</v>
      </c>
      <c r="L172" s="524" t="s">
        <v>1075</v>
      </c>
      <c r="M172" s="524" t="s">
        <v>1076</v>
      </c>
      <c r="N172" s="520"/>
      <c r="O172" s="521"/>
    </row>
    <row r="173" spans="2:15" ht="17.25">
      <c r="B173" s="489">
        <v>0.625</v>
      </c>
      <c r="C173" s="485">
        <v>4</v>
      </c>
      <c r="D173" s="524" t="s">
        <v>1077</v>
      </c>
      <c r="E173" s="524" t="s">
        <v>1078</v>
      </c>
      <c r="F173" s="491"/>
      <c r="G173" s="464"/>
      <c r="H173" s="434"/>
      <c r="I173" s="434"/>
      <c r="J173" s="489"/>
      <c r="K173" s="462"/>
      <c r="L173" s="462"/>
      <c r="M173" s="462"/>
      <c r="N173" s="462"/>
      <c r="O173" s="464"/>
    </row>
    <row r="174" spans="2:13" ht="17.25">
      <c r="B174" s="489"/>
      <c r="C174" s="485"/>
      <c r="D174" s="476"/>
      <c r="E174" s="476"/>
      <c r="F174" s="491"/>
      <c r="G174" s="464"/>
      <c r="H174" s="434"/>
      <c r="I174" s="434"/>
      <c r="J174" s="434"/>
      <c r="L174" s="433"/>
      <c r="M174" s="433"/>
    </row>
    <row r="177" spans="2:15" ht="18">
      <c r="B177" s="434"/>
      <c r="E177" s="449" t="s">
        <v>1079</v>
      </c>
      <c r="F177" s="449"/>
      <c r="G177" s="502"/>
      <c r="J177" s="434"/>
      <c r="L177" s="449" t="s">
        <v>1080</v>
      </c>
      <c r="M177" s="449"/>
      <c r="O177" s="502"/>
    </row>
    <row r="178" spans="2:15" ht="17.25">
      <c r="B178" s="434"/>
      <c r="C178" s="451" t="s">
        <v>381</v>
      </c>
      <c r="D178" s="452" t="s">
        <v>904</v>
      </c>
      <c r="E178" s="453" t="s">
        <v>905</v>
      </c>
      <c r="F178" s="453" t="s">
        <v>906</v>
      </c>
      <c r="G178" s="454"/>
      <c r="J178" s="455" t="s">
        <v>907</v>
      </c>
      <c r="K178" s="455" t="s">
        <v>908</v>
      </c>
      <c r="L178" s="635" t="s">
        <v>909</v>
      </c>
      <c r="M178" s="635"/>
      <c r="N178" s="635"/>
      <c r="O178" s="635"/>
    </row>
    <row r="179" spans="2:15" ht="17.25">
      <c r="B179" s="434"/>
      <c r="C179" s="456"/>
      <c r="D179" s="457" t="s">
        <v>910</v>
      </c>
      <c r="E179" s="458" t="s">
        <v>911</v>
      </c>
      <c r="F179" s="459" t="s">
        <v>912</v>
      </c>
      <c r="G179" s="460"/>
      <c r="J179" s="461" t="s">
        <v>913</v>
      </c>
      <c r="K179" s="461" t="s">
        <v>914</v>
      </c>
      <c r="L179" s="455" t="s">
        <v>423</v>
      </c>
      <c r="M179" s="462" t="s">
        <v>460</v>
      </c>
      <c r="N179" s="463"/>
      <c r="O179" s="464"/>
    </row>
    <row r="180" spans="2:15" ht="17.25">
      <c r="B180" s="486"/>
      <c r="C180" s="456"/>
      <c r="D180" s="457" t="s">
        <v>915</v>
      </c>
      <c r="E180" s="457" t="s">
        <v>916</v>
      </c>
      <c r="F180" s="466" t="s">
        <v>421</v>
      </c>
      <c r="G180" s="460"/>
      <c r="J180" s="487">
        <v>0.375</v>
      </c>
      <c r="K180" s="485">
        <v>1</v>
      </c>
      <c r="L180" s="523" t="s">
        <v>1081</v>
      </c>
      <c r="M180" s="523" t="s">
        <v>1082</v>
      </c>
      <c r="N180" s="488"/>
      <c r="O180" s="470"/>
    </row>
    <row r="181" spans="2:15" ht="17.25">
      <c r="B181" s="434"/>
      <c r="C181" s="471"/>
      <c r="D181" s="472" t="s">
        <v>918</v>
      </c>
      <c r="E181" s="473" t="s">
        <v>422</v>
      </c>
      <c r="F181" s="474" t="s">
        <v>919</v>
      </c>
      <c r="G181" s="475"/>
      <c r="J181" s="487">
        <v>0.3888888888888889</v>
      </c>
      <c r="K181" s="485">
        <v>2</v>
      </c>
      <c r="L181" s="523" t="s">
        <v>1083</v>
      </c>
      <c r="M181" s="523" t="s">
        <v>1084</v>
      </c>
      <c r="N181" s="480"/>
      <c r="O181" s="477"/>
    </row>
    <row r="182" spans="2:15" ht="17.25">
      <c r="B182" s="434"/>
      <c r="D182" s="478"/>
      <c r="E182" s="478"/>
      <c r="F182" s="478"/>
      <c r="G182" s="479"/>
      <c r="J182" s="487">
        <v>0.402777777777778</v>
      </c>
      <c r="K182" s="485">
        <v>3</v>
      </c>
      <c r="L182" s="523" t="s">
        <v>1085</v>
      </c>
      <c r="M182" s="523" t="s">
        <v>1086</v>
      </c>
      <c r="N182" s="480"/>
      <c r="O182" s="477"/>
    </row>
    <row r="183" spans="2:15" ht="17.25">
      <c r="B183" s="434"/>
      <c r="D183" s="478"/>
      <c r="E183" s="478"/>
      <c r="F183" s="478"/>
      <c r="G183" s="479"/>
      <c r="J183" s="487">
        <v>0.416666666666667</v>
      </c>
      <c r="K183" s="522">
        <v>4</v>
      </c>
      <c r="L183" s="523" t="s">
        <v>1087</v>
      </c>
      <c r="M183" s="523" t="s">
        <v>1088</v>
      </c>
      <c r="N183" s="480"/>
      <c r="O183" s="477"/>
    </row>
    <row r="184" spans="2:15" ht="17.25">
      <c r="B184" s="434"/>
      <c r="F184" s="433"/>
      <c r="J184" s="489"/>
      <c r="K184" s="485"/>
      <c r="L184" s="476"/>
      <c r="M184" s="507"/>
      <c r="N184" s="480"/>
      <c r="O184" s="477"/>
    </row>
    <row r="185" spans="2:15" ht="17.25">
      <c r="B185" s="455" t="s">
        <v>907</v>
      </c>
      <c r="C185" s="455" t="s">
        <v>908</v>
      </c>
      <c r="D185" s="635" t="s">
        <v>909</v>
      </c>
      <c r="E185" s="635"/>
      <c r="F185" s="635"/>
      <c r="G185" s="635"/>
      <c r="J185" s="636" t="s">
        <v>923</v>
      </c>
      <c r="K185" s="636"/>
      <c r="L185" s="636"/>
      <c r="M185" s="636"/>
      <c r="N185" s="636"/>
      <c r="O185" s="636"/>
    </row>
    <row r="186" spans="2:15" ht="17.25">
      <c r="B186" s="461" t="s">
        <v>913</v>
      </c>
      <c r="C186" s="461" t="s">
        <v>914</v>
      </c>
      <c r="D186" s="462" t="s">
        <v>423</v>
      </c>
      <c r="E186" s="462" t="s">
        <v>460</v>
      </c>
      <c r="F186" s="463"/>
      <c r="G186" s="464"/>
      <c r="J186" s="487">
        <v>0.5833333333333334</v>
      </c>
      <c r="K186" s="485">
        <v>5</v>
      </c>
      <c r="L186" s="524" t="s">
        <v>1089</v>
      </c>
      <c r="M186" s="524" t="s">
        <v>1090</v>
      </c>
      <c r="N186" s="480"/>
      <c r="O186" s="477"/>
    </row>
    <row r="187" spans="2:15" ht="17.25">
      <c r="B187" s="489">
        <v>0.5833333333333334</v>
      </c>
      <c r="C187" s="462">
        <v>1</v>
      </c>
      <c r="D187" s="523" t="s">
        <v>1091</v>
      </c>
      <c r="E187" s="523" t="s">
        <v>1092</v>
      </c>
      <c r="F187" s="476"/>
      <c r="G187" s="470"/>
      <c r="J187" s="487">
        <v>0.5972222222222222</v>
      </c>
      <c r="K187" s="485">
        <v>6</v>
      </c>
      <c r="L187" s="524" t="s">
        <v>1093</v>
      </c>
      <c r="M187" s="524" t="s">
        <v>1094</v>
      </c>
      <c r="N187" s="480"/>
      <c r="O187" s="477"/>
    </row>
    <row r="188" spans="2:15" ht="17.25">
      <c r="B188" s="489">
        <v>0.5972222222222222</v>
      </c>
      <c r="C188" s="462">
        <v>2</v>
      </c>
      <c r="D188" s="523" t="s">
        <v>1095</v>
      </c>
      <c r="E188" s="523" t="s">
        <v>1096</v>
      </c>
      <c r="F188" s="476"/>
      <c r="G188" s="470"/>
      <c r="J188" s="487">
        <v>0.611111111111111</v>
      </c>
      <c r="K188" s="485">
        <v>7</v>
      </c>
      <c r="L188" s="523" t="s">
        <v>1097</v>
      </c>
      <c r="M188" s="523" t="s">
        <v>1098</v>
      </c>
      <c r="N188" s="480"/>
      <c r="O188" s="477"/>
    </row>
    <row r="189" spans="2:15" ht="17.25">
      <c r="B189" s="489">
        <v>0.611111111111111</v>
      </c>
      <c r="C189" s="462">
        <v>3</v>
      </c>
      <c r="D189" s="523" t="s">
        <v>1099</v>
      </c>
      <c r="E189" s="523" t="s">
        <v>1100</v>
      </c>
      <c r="F189" s="462"/>
      <c r="G189" s="464"/>
      <c r="J189" s="487">
        <v>0.625</v>
      </c>
      <c r="K189" s="522">
        <v>8</v>
      </c>
      <c r="L189" s="523" t="s">
        <v>1101</v>
      </c>
      <c r="M189" s="523" t="s">
        <v>1102</v>
      </c>
      <c r="N189" s="500"/>
      <c r="O189" s="494"/>
    </row>
    <row r="190" spans="2:15" ht="17.25">
      <c r="B190" s="489">
        <v>0.625</v>
      </c>
      <c r="C190" s="462">
        <v>4</v>
      </c>
      <c r="D190" s="523" t="s">
        <v>1103</v>
      </c>
      <c r="E190" s="523" t="s">
        <v>1104</v>
      </c>
      <c r="F190" s="462"/>
      <c r="G190" s="464"/>
      <c r="J190" s="469"/>
      <c r="K190" s="469"/>
      <c r="L190" s="462"/>
      <c r="M190" s="462"/>
      <c r="N190" s="469"/>
      <c r="O190" s="464"/>
    </row>
    <row r="191" spans="2:7" ht="17.25">
      <c r="B191" s="489"/>
      <c r="C191" s="462"/>
      <c r="D191" s="476"/>
      <c r="E191" s="476"/>
      <c r="F191" s="462"/>
      <c r="G191" s="464"/>
    </row>
    <row r="194" spans="2:15" ht="18" thickBot="1">
      <c r="B194" s="534"/>
      <c r="C194" s="534"/>
      <c r="D194" s="534"/>
      <c r="E194" s="449" t="s">
        <v>1124</v>
      </c>
      <c r="F194" s="449"/>
      <c r="G194" s="570"/>
      <c r="H194" s="535"/>
      <c r="I194" s="535"/>
      <c r="J194" s="534"/>
      <c r="K194" s="535"/>
      <c r="L194" s="449" t="s">
        <v>1125</v>
      </c>
      <c r="M194" s="449"/>
      <c r="N194" s="535"/>
      <c r="O194" s="570"/>
    </row>
    <row r="195" spans="2:15" ht="18" thickTop="1">
      <c r="B195" s="534"/>
      <c r="C195" s="451" t="s">
        <v>381</v>
      </c>
      <c r="D195" s="536" t="s">
        <v>904</v>
      </c>
      <c r="E195" s="537" t="s">
        <v>1126</v>
      </c>
      <c r="F195" s="537" t="s">
        <v>1127</v>
      </c>
      <c r="G195" s="538"/>
      <c r="H195" s="535"/>
      <c r="I195" s="535"/>
      <c r="J195" s="455" t="s">
        <v>907</v>
      </c>
      <c r="K195" s="455" t="s">
        <v>908</v>
      </c>
      <c r="L195" s="619" t="s">
        <v>1128</v>
      </c>
      <c r="M195" s="620"/>
      <c r="N195" s="620"/>
      <c r="O195" s="621"/>
    </row>
    <row r="196" spans="2:15" ht="17.25">
      <c r="B196" s="534"/>
      <c r="C196" s="539"/>
      <c r="D196" s="540" t="s">
        <v>910</v>
      </c>
      <c r="E196" s="541" t="s">
        <v>1129</v>
      </c>
      <c r="F196" s="541" t="s">
        <v>1130</v>
      </c>
      <c r="G196" s="542"/>
      <c r="H196" s="535"/>
      <c r="I196" s="535"/>
      <c r="J196" s="543" t="s">
        <v>1131</v>
      </c>
      <c r="K196" s="543" t="s">
        <v>1132</v>
      </c>
      <c r="L196" s="462" t="s">
        <v>423</v>
      </c>
      <c r="M196" s="462" t="s">
        <v>460</v>
      </c>
      <c r="N196" s="544"/>
      <c r="O196" s="545"/>
    </row>
    <row r="197" spans="2:15" ht="17.25">
      <c r="B197" s="546"/>
      <c r="C197" s="539"/>
      <c r="D197" s="540" t="s">
        <v>915</v>
      </c>
      <c r="E197" s="540" t="s">
        <v>916</v>
      </c>
      <c r="F197" s="540" t="s">
        <v>1133</v>
      </c>
      <c r="G197" s="542"/>
      <c r="H197" s="535"/>
      <c r="I197" s="535"/>
      <c r="J197" s="547">
        <v>0.375</v>
      </c>
      <c r="K197" s="485">
        <v>1</v>
      </c>
      <c r="L197" s="524" t="s">
        <v>1134</v>
      </c>
      <c r="M197" s="524" t="s">
        <v>589</v>
      </c>
      <c r="N197" s="548"/>
      <c r="O197" s="549"/>
    </row>
    <row r="198" spans="2:15" ht="18" thickBot="1">
      <c r="B198" s="534"/>
      <c r="C198" s="550"/>
      <c r="D198" s="551" t="s">
        <v>918</v>
      </c>
      <c r="E198" s="552" t="s">
        <v>422</v>
      </c>
      <c r="F198" s="552" t="s">
        <v>1136</v>
      </c>
      <c r="G198" s="553"/>
      <c r="H198" s="535"/>
      <c r="I198" s="535"/>
      <c r="J198" s="547">
        <v>0.3888888888888889</v>
      </c>
      <c r="K198" s="485">
        <v>2</v>
      </c>
      <c r="L198" s="524" t="s">
        <v>591</v>
      </c>
      <c r="M198" s="524" t="s">
        <v>593</v>
      </c>
      <c r="N198" s="554"/>
      <c r="O198" s="555"/>
    </row>
    <row r="199" spans="2:15" ht="18" thickTop="1">
      <c r="B199" s="534"/>
      <c r="C199" s="534"/>
      <c r="D199" s="556"/>
      <c r="E199" s="556"/>
      <c r="F199" s="556"/>
      <c r="G199" s="557"/>
      <c r="H199" s="535"/>
      <c r="I199" s="535"/>
      <c r="J199" s="547">
        <v>0.402777777777778</v>
      </c>
      <c r="K199" s="485">
        <v>3</v>
      </c>
      <c r="L199" s="524" t="s">
        <v>595</v>
      </c>
      <c r="M199" s="524" t="s">
        <v>597</v>
      </c>
      <c r="N199" s="554"/>
      <c r="O199" s="555"/>
    </row>
    <row r="200" spans="2:15" ht="17.25">
      <c r="B200" s="534"/>
      <c r="C200" s="534"/>
      <c r="D200" s="556"/>
      <c r="E200" s="556"/>
      <c r="F200" s="556"/>
      <c r="G200" s="557"/>
      <c r="H200" s="535"/>
      <c r="I200" s="535"/>
      <c r="J200" s="547">
        <v>0.416666666666667</v>
      </c>
      <c r="K200" s="522">
        <v>4</v>
      </c>
      <c r="L200" s="524" t="s">
        <v>599</v>
      </c>
      <c r="M200" s="524" t="s">
        <v>602</v>
      </c>
      <c r="N200" s="554"/>
      <c r="O200" s="555"/>
    </row>
    <row r="201" spans="2:15" ht="17.25">
      <c r="B201" s="534"/>
      <c r="C201" s="534"/>
      <c r="D201" s="534"/>
      <c r="E201" s="534"/>
      <c r="F201" s="535"/>
      <c r="G201" s="558"/>
      <c r="H201" s="535"/>
      <c r="I201" s="535"/>
      <c r="J201" s="559"/>
      <c r="K201" s="485"/>
      <c r="L201" s="560"/>
      <c r="M201" s="561"/>
      <c r="N201" s="554"/>
      <c r="O201" s="555"/>
    </row>
    <row r="202" spans="2:15" ht="17.25">
      <c r="B202" s="455" t="s">
        <v>907</v>
      </c>
      <c r="C202" s="455" t="s">
        <v>908</v>
      </c>
      <c r="D202" s="619" t="s">
        <v>1128</v>
      </c>
      <c r="E202" s="620"/>
      <c r="F202" s="620"/>
      <c r="G202" s="621"/>
      <c r="H202" s="535"/>
      <c r="I202" s="535"/>
      <c r="J202" s="622" t="s">
        <v>923</v>
      </c>
      <c r="K202" s="623"/>
      <c r="L202" s="623"/>
      <c r="M202" s="623"/>
      <c r="N202" s="623"/>
      <c r="O202" s="624"/>
    </row>
    <row r="203" spans="2:15" ht="17.25">
      <c r="B203" s="543" t="s">
        <v>1131</v>
      </c>
      <c r="C203" s="543" t="s">
        <v>1132</v>
      </c>
      <c r="D203" s="462" t="s">
        <v>423</v>
      </c>
      <c r="E203" s="462" t="s">
        <v>460</v>
      </c>
      <c r="F203" s="544"/>
      <c r="G203" s="545"/>
      <c r="H203" s="535"/>
      <c r="I203" s="535"/>
      <c r="J203" s="547">
        <v>0.5833333333333334</v>
      </c>
      <c r="K203" s="485">
        <v>5</v>
      </c>
      <c r="L203" s="524" t="s">
        <v>855</v>
      </c>
      <c r="M203" s="524" t="s">
        <v>588</v>
      </c>
      <c r="N203" s="554"/>
      <c r="O203" s="555"/>
    </row>
    <row r="204" spans="2:15" ht="17.25">
      <c r="B204" s="559">
        <v>0.5833333333333334</v>
      </c>
      <c r="C204" s="462">
        <v>1</v>
      </c>
      <c r="D204" s="524" t="s">
        <v>1135</v>
      </c>
      <c r="E204" s="524" t="s">
        <v>856</v>
      </c>
      <c r="F204" s="508"/>
      <c r="G204" s="549"/>
      <c r="H204" s="535"/>
      <c r="I204" s="535"/>
      <c r="J204" s="547">
        <v>0.5972222222222222</v>
      </c>
      <c r="K204" s="485">
        <v>6</v>
      </c>
      <c r="L204" s="524" t="s">
        <v>859</v>
      </c>
      <c r="M204" s="524" t="s">
        <v>592</v>
      </c>
      <c r="N204" s="554"/>
      <c r="O204" s="555"/>
    </row>
    <row r="205" spans="2:15" ht="17.25">
      <c r="B205" s="559">
        <v>0.5972222222222222</v>
      </c>
      <c r="C205" s="485">
        <v>2</v>
      </c>
      <c r="D205" s="579" t="s">
        <v>858</v>
      </c>
      <c r="E205" s="579" t="s">
        <v>860</v>
      </c>
      <c r="F205" s="554"/>
      <c r="G205" s="549"/>
      <c r="H205" s="535"/>
      <c r="I205" s="535"/>
      <c r="J205" s="547">
        <v>0.611111111111111</v>
      </c>
      <c r="K205" s="485">
        <v>7</v>
      </c>
      <c r="L205" s="524" t="s">
        <v>863</v>
      </c>
      <c r="M205" s="524" t="s">
        <v>596</v>
      </c>
      <c r="N205" s="554"/>
      <c r="O205" s="555"/>
    </row>
    <row r="206" spans="2:15" ht="17.25">
      <c r="B206" s="559">
        <v>0.611111111111111</v>
      </c>
      <c r="C206" s="485">
        <v>3</v>
      </c>
      <c r="D206" s="579" t="s">
        <v>862</v>
      </c>
      <c r="E206" s="579" t="s">
        <v>864</v>
      </c>
      <c r="F206" s="563"/>
      <c r="G206" s="545"/>
      <c r="H206" s="535"/>
      <c r="I206" s="535"/>
      <c r="J206" s="547">
        <v>0.625</v>
      </c>
      <c r="K206" s="522">
        <v>8</v>
      </c>
      <c r="L206" s="524" t="s">
        <v>867</v>
      </c>
      <c r="M206" s="524" t="s">
        <v>600</v>
      </c>
      <c r="N206" s="564"/>
      <c r="O206" s="565"/>
    </row>
    <row r="207" spans="2:15" ht="17.25">
      <c r="B207" s="559">
        <v>0.625</v>
      </c>
      <c r="C207" s="485">
        <v>4</v>
      </c>
      <c r="D207" s="579" t="s">
        <v>866</v>
      </c>
      <c r="E207" s="579" t="s">
        <v>869</v>
      </c>
      <c r="F207" s="563"/>
      <c r="G207" s="545"/>
      <c r="H207" s="535"/>
      <c r="I207" s="535"/>
      <c r="J207" s="566"/>
      <c r="K207" s="566"/>
      <c r="L207" s="562"/>
      <c r="M207" s="562"/>
      <c r="N207" s="566"/>
      <c r="O207" s="567"/>
    </row>
    <row r="208" spans="2:15" ht="17.25">
      <c r="B208" s="559"/>
      <c r="C208" s="462"/>
      <c r="D208" s="568"/>
      <c r="E208" s="568"/>
      <c r="F208" s="462"/>
      <c r="G208" s="545"/>
      <c r="H208" s="535"/>
      <c r="I208" s="535"/>
      <c r="J208" s="535"/>
      <c r="K208" s="535"/>
      <c r="L208" s="534"/>
      <c r="M208" s="534"/>
      <c r="N208" s="535"/>
      <c r="O208" s="558"/>
    </row>
    <row r="209" spans="2:15" ht="17.25">
      <c r="B209" s="535"/>
      <c r="C209" s="534"/>
      <c r="D209" s="534"/>
      <c r="E209" s="534"/>
      <c r="F209" s="534"/>
      <c r="G209" s="558"/>
      <c r="H209" s="535"/>
      <c r="I209" s="535"/>
      <c r="J209" s="535"/>
      <c r="K209" s="535"/>
      <c r="L209" s="534"/>
      <c r="M209" s="534"/>
      <c r="N209" s="535"/>
      <c r="O209" s="558"/>
    </row>
    <row r="210" spans="2:15" ht="17.25">
      <c r="B210" s="535"/>
      <c r="C210" s="534"/>
      <c r="D210" s="534"/>
      <c r="E210" s="534"/>
      <c r="F210" s="534"/>
      <c r="G210" s="558"/>
      <c r="H210" s="535"/>
      <c r="I210" s="535"/>
      <c r="J210" s="535"/>
      <c r="K210" s="535"/>
      <c r="L210" s="534"/>
      <c r="M210" s="534"/>
      <c r="N210" s="535"/>
      <c r="O210" s="558"/>
    </row>
    <row r="211" spans="2:15" ht="17.25">
      <c r="B211" s="535"/>
      <c r="C211" s="534"/>
      <c r="D211" s="534"/>
      <c r="E211" s="534"/>
      <c r="F211" s="534"/>
      <c r="G211" s="558"/>
      <c r="H211" s="535"/>
      <c r="I211" s="535"/>
      <c r="J211" s="535"/>
      <c r="K211" s="535"/>
      <c r="L211" s="534"/>
      <c r="M211" s="534"/>
      <c r="N211" s="535"/>
      <c r="O211" s="558"/>
    </row>
    <row r="212" spans="2:15" ht="18" thickBot="1">
      <c r="B212" s="534"/>
      <c r="C212" s="534"/>
      <c r="D212" s="534"/>
      <c r="E212" s="449" t="s">
        <v>1137</v>
      </c>
      <c r="F212" s="449"/>
      <c r="G212" s="570"/>
      <c r="H212" s="535"/>
      <c r="I212" s="535"/>
      <c r="J212" s="534"/>
      <c r="K212" s="535"/>
      <c r="L212" s="449" t="s">
        <v>1138</v>
      </c>
      <c r="M212" s="449"/>
      <c r="N212" s="535"/>
      <c r="O212" s="570"/>
    </row>
    <row r="213" spans="2:15" ht="18" thickTop="1">
      <c r="B213" s="534"/>
      <c r="C213" s="451" t="s">
        <v>381</v>
      </c>
      <c r="D213" s="536" t="s">
        <v>904</v>
      </c>
      <c r="E213" s="537" t="s">
        <v>1126</v>
      </c>
      <c r="F213" s="537" t="s">
        <v>1127</v>
      </c>
      <c r="G213" s="538"/>
      <c r="H213" s="535"/>
      <c r="I213" s="535"/>
      <c r="J213" s="455" t="s">
        <v>907</v>
      </c>
      <c r="K213" s="455" t="s">
        <v>908</v>
      </c>
      <c r="L213" s="619" t="s">
        <v>1128</v>
      </c>
      <c r="M213" s="620"/>
      <c r="N213" s="620"/>
      <c r="O213" s="621"/>
    </row>
    <row r="214" spans="2:15" ht="17.25">
      <c r="B214" s="534"/>
      <c r="C214" s="539"/>
      <c r="D214" s="540" t="s">
        <v>910</v>
      </c>
      <c r="E214" s="541" t="s">
        <v>1129</v>
      </c>
      <c r="F214" s="541" t="s">
        <v>1130</v>
      </c>
      <c r="G214" s="542"/>
      <c r="H214" s="535"/>
      <c r="I214" s="535"/>
      <c r="J214" s="543" t="s">
        <v>1131</v>
      </c>
      <c r="K214" s="543" t="s">
        <v>1132</v>
      </c>
      <c r="L214" s="455" t="s">
        <v>423</v>
      </c>
      <c r="M214" s="455" t="s">
        <v>460</v>
      </c>
      <c r="N214" s="532"/>
      <c r="O214" s="565"/>
    </row>
    <row r="215" spans="2:15" ht="17.25">
      <c r="B215" s="546"/>
      <c r="C215" s="539"/>
      <c r="D215" s="540" t="s">
        <v>915</v>
      </c>
      <c r="E215" s="540" t="s">
        <v>916</v>
      </c>
      <c r="F215" s="540" t="s">
        <v>1133</v>
      </c>
      <c r="G215" s="542"/>
      <c r="H215" s="535"/>
      <c r="I215" s="535"/>
      <c r="J215" s="547">
        <v>0.375</v>
      </c>
      <c r="K215" s="485">
        <v>1</v>
      </c>
      <c r="L215" s="625" t="s">
        <v>962</v>
      </c>
      <c r="M215" s="626"/>
      <c r="N215" s="626"/>
      <c r="O215" s="627"/>
    </row>
    <row r="216" spans="2:15" ht="18" thickBot="1">
      <c r="B216" s="534"/>
      <c r="C216" s="550"/>
      <c r="D216" s="551" t="s">
        <v>918</v>
      </c>
      <c r="E216" s="552" t="s">
        <v>422</v>
      </c>
      <c r="F216" s="552" t="s">
        <v>1136</v>
      </c>
      <c r="G216" s="553"/>
      <c r="H216" s="535"/>
      <c r="I216" s="535"/>
      <c r="J216" s="547">
        <v>0.3888888888888889</v>
      </c>
      <c r="K216" s="485">
        <v>2</v>
      </c>
      <c r="L216" s="628"/>
      <c r="M216" s="629"/>
      <c r="N216" s="629"/>
      <c r="O216" s="630"/>
    </row>
    <row r="217" spans="2:15" ht="18" thickTop="1">
      <c r="B217" s="534"/>
      <c r="C217" s="534"/>
      <c r="D217" s="556"/>
      <c r="E217" s="556"/>
      <c r="F217" s="556"/>
      <c r="G217" s="557"/>
      <c r="H217" s="535"/>
      <c r="I217" s="535"/>
      <c r="J217" s="547">
        <v>0.402777777777778</v>
      </c>
      <c r="K217" s="485">
        <v>3</v>
      </c>
      <c r="L217" s="628"/>
      <c r="M217" s="629"/>
      <c r="N217" s="629"/>
      <c r="O217" s="630"/>
    </row>
    <row r="218" spans="2:15" ht="17.25">
      <c r="B218" s="534"/>
      <c r="C218" s="534"/>
      <c r="D218" s="556"/>
      <c r="E218" s="556"/>
      <c r="F218" s="556"/>
      <c r="G218" s="557"/>
      <c r="H218" s="535"/>
      <c r="I218" s="535"/>
      <c r="J218" s="547">
        <v>0.416666666666667</v>
      </c>
      <c r="K218" s="522">
        <v>4</v>
      </c>
      <c r="L218" s="628"/>
      <c r="M218" s="629"/>
      <c r="N218" s="629"/>
      <c r="O218" s="630"/>
    </row>
    <row r="219" spans="2:15" ht="17.25">
      <c r="B219" s="534"/>
      <c r="C219" s="534"/>
      <c r="D219" s="534"/>
      <c r="E219" s="534"/>
      <c r="F219" s="535"/>
      <c r="G219" s="558"/>
      <c r="H219" s="535"/>
      <c r="I219" s="535"/>
      <c r="J219" s="559"/>
      <c r="K219" s="485"/>
      <c r="L219" s="628"/>
      <c r="M219" s="629"/>
      <c r="N219" s="629"/>
      <c r="O219" s="630"/>
    </row>
    <row r="220" spans="2:15" ht="17.25">
      <c r="B220" s="455" t="s">
        <v>907</v>
      </c>
      <c r="C220" s="455" t="s">
        <v>908</v>
      </c>
      <c r="D220" s="619" t="s">
        <v>1128</v>
      </c>
      <c r="E220" s="620"/>
      <c r="F220" s="620"/>
      <c r="G220" s="621"/>
      <c r="H220" s="535"/>
      <c r="I220" s="535"/>
      <c r="J220" s="571" t="s">
        <v>923</v>
      </c>
      <c r="K220" s="535"/>
      <c r="L220" s="628"/>
      <c r="M220" s="629"/>
      <c r="N220" s="629"/>
      <c r="O220" s="630"/>
    </row>
    <row r="221" spans="2:15" ht="17.25">
      <c r="B221" s="543" t="s">
        <v>1131</v>
      </c>
      <c r="C221" s="543" t="s">
        <v>1132</v>
      </c>
      <c r="D221" s="455" t="s">
        <v>423</v>
      </c>
      <c r="E221" s="455" t="s">
        <v>460</v>
      </c>
      <c r="F221" s="544"/>
      <c r="G221" s="545"/>
      <c r="H221" s="535"/>
      <c r="I221" s="535"/>
      <c r="J221" s="547">
        <v>0.5833333333333334</v>
      </c>
      <c r="K221" s="485">
        <v>5</v>
      </c>
      <c r="L221" s="628"/>
      <c r="M221" s="629"/>
      <c r="N221" s="629"/>
      <c r="O221" s="630"/>
    </row>
    <row r="222" spans="2:15" ht="17.25">
      <c r="B222" s="559">
        <v>0.5833333333333334</v>
      </c>
      <c r="C222" s="485">
        <v>1</v>
      </c>
      <c r="D222" s="634" t="s">
        <v>962</v>
      </c>
      <c r="E222" s="634"/>
      <c r="F222" s="634"/>
      <c r="G222" s="634"/>
      <c r="H222" s="535"/>
      <c r="I222" s="535"/>
      <c r="J222" s="547">
        <v>0.5972222222222222</v>
      </c>
      <c r="K222" s="485">
        <v>6</v>
      </c>
      <c r="L222" s="628"/>
      <c r="M222" s="629"/>
      <c r="N222" s="629"/>
      <c r="O222" s="630"/>
    </row>
    <row r="223" spans="2:15" ht="17.25">
      <c r="B223" s="559">
        <v>0.5972222222222222</v>
      </c>
      <c r="C223" s="485">
        <v>2</v>
      </c>
      <c r="D223" s="634"/>
      <c r="E223" s="634"/>
      <c r="F223" s="634"/>
      <c r="G223" s="634"/>
      <c r="H223" s="535"/>
      <c r="I223" s="535"/>
      <c r="J223" s="547">
        <v>0.611111111111111</v>
      </c>
      <c r="K223" s="485">
        <v>7</v>
      </c>
      <c r="L223" s="628"/>
      <c r="M223" s="629"/>
      <c r="N223" s="629"/>
      <c r="O223" s="630"/>
    </row>
    <row r="224" spans="2:15" ht="17.25">
      <c r="B224" s="559">
        <v>0.611111111111111</v>
      </c>
      <c r="C224" s="485">
        <v>3</v>
      </c>
      <c r="D224" s="634"/>
      <c r="E224" s="634"/>
      <c r="F224" s="634"/>
      <c r="G224" s="634"/>
      <c r="H224" s="535"/>
      <c r="I224" s="535"/>
      <c r="J224" s="547">
        <v>0.625</v>
      </c>
      <c r="K224" s="522">
        <v>8</v>
      </c>
      <c r="L224" s="631"/>
      <c r="M224" s="632"/>
      <c r="N224" s="632"/>
      <c r="O224" s="633"/>
    </row>
    <row r="225" spans="2:15" ht="17.25">
      <c r="B225" s="559">
        <v>0.625</v>
      </c>
      <c r="C225" s="485">
        <v>4</v>
      </c>
      <c r="D225" s="634"/>
      <c r="E225" s="634"/>
      <c r="F225" s="634"/>
      <c r="G225" s="634"/>
      <c r="H225" s="535"/>
      <c r="I225" s="535"/>
      <c r="J225" s="566"/>
      <c r="K225" s="566"/>
      <c r="L225" s="562"/>
      <c r="M225" s="562"/>
      <c r="N225" s="566"/>
      <c r="O225" s="567"/>
    </row>
    <row r="226" spans="2:15" ht="17.25">
      <c r="B226" s="559"/>
      <c r="C226" s="462"/>
      <c r="D226" s="568"/>
      <c r="E226" s="568"/>
      <c r="F226" s="462"/>
      <c r="G226" s="545"/>
      <c r="H226" s="535"/>
      <c r="I226" s="535"/>
      <c r="J226" s="535"/>
      <c r="K226" s="535"/>
      <c r="L226" s="534"/>
      <c r="M226" s="534"/>
      <c r="N226" s="535"/>
      <c r="O226" s="558"/>
    </row>
    <row r="227" spans="2:15" ht="17.25">
      <c r="B227" s="535"/>
      <c r="C227" s="534"/>
      <c r="D227" s="534"/>
      <c r="E227" s="534"/>
      <c r="F227" s="534"/>
      <c r="G227" s="558"/>
      <c r="H227" s="535"/>
      <c r="I227" s="535"/>
      <c r="J227" s="535"/>
      <c r="K227" s="535"/>
      <c r="L227" s="534"/>
      <c r="M227" s="534"/>
      <c r="N227" s="535"/>
      <c r="O227" s="558"/>
    </row>
    <row r="228" spans="2:15" ht="17.25">
      <c r="B228" s="535"/>
      <c r="C228" s="534"/>
      <c r="D228" s="534"/>
      <c r="E228" s="534"/>
      <c r="F228" s="534"/>
      <c r="G228" s="558"/>
      <c r="H228" s="535"/>
      <c r="I228" s="535"/>
      <c r="J228" s="535"/>
      <c r="K228" s="535"/>
      <c r="L228" s="534"/>
      <c r="M228" s="534"/>
      <c r="N228" s="535"/>
      <c r="O228" s="558"/>
    </row>
    <row r="229" spans="2:15" ht="18" thickBot="1">
      <c r="B229" s="534"/>
      <c r="C229" s="534"/>
      <c r="D229" s="534"/>
      <c r="E229" s="449" t="s">
        <v>1139</v>
      </c>
      <c r="F229" s="449"/>
      <c r="G229" s="570"/>
      <c r="H229" s="535"/>
      <c r="I229" s="535"/>
      <c r="J229" s="534"/>
      <c r="K229" s="535"/>
      <c r="L229" s="449" t="s">
        <v>1140</v>
      </c>
      <c r="M229" s="449"/>
      <c r="N229" s="535"/>
      <c r="O229" s="570"/>
    </row>
    <row r="230" spans="2:15" ht="18" thickTop="1">
      <c r="B230" s="534"/>
      <c r="C230" s="451" t="s">
        <v>381</v>
      </c>
      <c r="D230" s="536" t="s">
        <v>904</v>
      </c>
      <c r="E230" s="537" t="s">
        <v>1126</v>
      </c>
      <c r="F230" s="537" t="s">
        <v>1127</v>
      </c>
      <c r="G230" s="538"/>
      <c r="H230" s="535"/>
      <c r="I230" s="535"/>
      <c r="J230" s="455" t="s">
        <v>907</v>
      </c>
      <c r="K230" s="455" t="s">
        <v>908</v>
      </c>
      <c r="L230" s="619" t="s">
        <v>1128</v>
      </c>
      <c r="M230" s="620"/>
      <c r="N230" s="620"/>
      <c r="O230" s="621"/>
    </row>
    <row r="231" spans="2:15" ht="17.25">
      <c r="B231" s="534"/>
      <c r="C231" s="539"/>
      <c r="D231" s="540" t="s">
        <v>910</v>
      </c>
      <c r="E231" s="541" t="s">
        <v>1129</v>
      </c>
      <c r="F231" s="541" t="s">
        <v>1130</v>
      </c>
      <c r="G231" s="542"/>
      <c r="H231" s="535"/>
      <c r="I231" s="535"/>
      <c r="J231" s="543" t="s">
        <v>1131</v>
      </c>
      <c r="K231" s="543" t="s">
        <v>1132</v>
      </c>
      <c r="L231" s="462" t="s">
        <v>423</v>
      </c>
      <c r="M231" s="462" t="s">
        <v>460</v>
      </c>
      <c r="N231" s="544"/>
      <c r="O231" s="545"/>
    </row>
    <row r="232" spans="2:15" ht="17.25">
      <c r="B232" s="546"/>
      <c r="C232" s="539"/>
      <c r="D232" s="540" t="s">
        <v>915</v>
      </c>
      <c r="E232" s="540" t="s">
        <v>916</v>
      </c>
      <c r="F232" s="540" t="s">
        <v>1133</v>
      </c>
      <c r="G232" s="542"/>
      <c r="H232" s="535"/>
      <c r="I232" s="535"/>
      <c r="J232" s="547">
        <v>0.375</v>
      </c>
      <c r="K232" s="485">
        <v>1</v>
      </c>
      <c r="L232" s="508" t="s">
        <v>857</v>
      </c>
      <c r="M232" s="560"/>
      <c r="N232" s="548"/>
      <c r="O232" s="549"/>
    </row>
    <row r="233" spans="2:15" ht="18" thickBot="1">
      <c r="B233" s="534"/>
      <c r="C233" s="550"/>
      <c r="D233" s="551" t="s">
        <v>918</v>
      </c>
      <c r="E233" s="552" t="s">
        <v>422</v>
      </c>
      <c r="F233" s="552" t="s">
        <v>1136</v>
      </c>
      <c r="G233" s="553"/>
      <c r="H233" s="535"/>
      <c r="I233" s="535"/>
      <c r="J233" s="547">
        <v>0.3888888888888889</v>
      </c>
      <c r="K233" s="485">
        <v>2</v>
      </c>
      <c r="L233" s="508" t="s">
        <v>865</v>
      </c>
      <c r="M233" s="560"/>
      <c r="N233" s="554"/>
      <c r="O233" s="555"/>
    </row>
    <row r="234" spans="2:15" ht="18" thickTop="1">
      <c r="B234" s="534"/>
      <c r="C234" s="534"/>
      <c r="D234" s="556"/>
      <c r="E234" s="556"/>
      <c r="F234" s="556"/>
      <c r="G234" s="557"/>
      <c r="H234" s="535"/>
      <c r="I234" s="535"/>
      <c r="J234" s="547">
        <v>0.402777777777778</v>
      </c>
      <c r="K234" s="485">
        <v>3</v>
      </c>
      <c r="L234" s="508" t="s">
        <v>590</v>
      </c>
      <c r="M234" s="560"/>
      <c r="N234" s="554"/>
      <c r="O234" s="555"/>
    </row>
    <row r="235" spans="2:15" ht="17.25">
      <c r="B235" s="534"/>
      <c r="C235" s="534"/>
      <c r="D235" s="556"/>
      <c r="E235" s="556"/>
      <c r="F235" s="556"/>
      <c r="G235" s="557"/>
      <c r="H235" s="535"/>
      <c r="I235" s="535"/>
      <c r="J235" s="547">
        <v>0.416666666666667</v>
      </c>
      <c r="K235" s="522">
        <v>4</v>
      </c>
      <c r="L235" s="508" t="s">
        <v>598</v>
      </c>
      <c r="M235" s="560"/>
      <c r="N235" s="554"/>
      <c r="O235" s="555"/>
    </row>
    <row r="236" spans="2:15" ht="17.25">
      <c r="B236" s="534"/>
      <c r="C236" s="534"/>
      <c r="D236" s="534"/>
      <c r="E236" s="534"/>
      <c r="F236" s="535"/>
      <c r="G236" s="558"/>
      <c r="H236" s="535"/>
      <c r="I236" s="535"/>
      <c r="J236" s="559"/>
      <c r="K236" s="485"/>
      <c r="L236" s="560"/>
      <c r="M236" s="561"/>
      <c r="N236" s="554"/>
      <c r="O236" s="555"/>
    </row>
    <row r="237" spans="2:15" ht="17.25">
      <c r="B237" s="455" t="s">
        <v>907</v>
      </c>
      <c r="C237" s="455" t="s">
        <v>908</v>
      </c>
      <c r="D237" s="619" t="s">
        <v>1128</v>
      </c>
      <c r="E237" s="620"/>
      <c r="F237" s="620"/>
      <c r="G237" s="621"/>
      <c r="H237" s="535"/>
      <c r="I237" s="535"/>
      <c r="J237" s="622" t="s">
        <v>923</v>
      </c>
      <c r="K237" s="623"/>
      <c r="L237" s="623"/>
      <c r="M237" s="623"/>
      <c r="N237" s="623"/>
      <c r="O237" s="624"/>
    </row>
    <row r="238" spans="2:15" ht="17.25">
      <c r="B238" s="543" t="s">
        <v>1131</v>
      </c>
      <c r="C238" s="543" t="s">
        <v>1132</v>
      </c>
      <c r="D238" s="455" t="s">
        <v>423</v>
      </c>
      <c r="E238" s="455" t="s">
        <v>460</v>
      </c>
      <c r="F238" s="544"/>
      <c r="G238" s="545"/>
      <c r="H238" s="535"/>
      <c r="I238" s="535"/>
      <c r="J238" s="547">
        <v>0.5833333333333334</v>
      </c>
      <c r="K238" s="485">
        <v>5</v>
      </c>
      <c r="L238" s="508" t="s">
        <v>868</v>
      </c>
      <c r="M238" s="560"/>
      <c r="N238" s="554"/>
      <c r="O238" s="555"/>
    </row>
    <row r="239" spans="2:15" ht="17.25">
      <c r="B239" s="559">
        <v>0.5833333333333334</v>
      </c>
      <c r="C239" s="485">
        <v>1</v>
      </c>
      <c r="D239" s="634" t="s">
        <v>962</v>
      </c>
      <c r="E239" s="634"/>
      <c r="F239" s="634"/>
      <c r="G239" s="634"/>
      <c r="H239" s="535"/>
      <c r="I239" s="535"/>
      <c r="J239" s="547">
        <v>0.5972222222222222</v>
      </c>
      <c r="K239" s="485">
        <v>6</v>
      </c>
      <c r="L239" s="508" t="s">
        <v>861</v>
      </c>
      <c r="M239" s="560"/>
      <c r="N239" s="554"/>
      <c r="O239" s="555"/>
    </row>
    <row r="240" spans="2:15" ht="17.25">
      <c r="B240" s="559">
        <v>0.5972222222222222</v>
      </c>
      <c r="C240" s="485">
        <v>2</v>
      </c>
      <c r="D240" s="634"/>
      <c r="E240" s="634"/>
      <c r="F240" s="634"/>
      <c r="G240" s="634"/>
      <c r="H240" s="535"/>
      <c r="I240" s="535"/>
      <c r="J240" s="547">
        <v>0.611111111111111</v>
      </c>
      <c r="K240" s="485">
        <v>7</v>
      </c>
      <c r="L240" s="508" t="s">
        <v>601</v>
      </c>
      <c r="M240" s="560"/>
      <c r="N240" s="554"/>
      <c r="O240" s="555"/>
    </row>
    <row r="241" spans="2:15" ht="17.25">
      <c r="B241" s="559">
        <v>0.611111111111111</v>
      </c>
      <c r="C241" s="485">
        <v>3</v>
      </c>
      <c r="D241" s="634"/>
      <c r="E241" s="634"/>
      <c r="F241" s="634"/>
      <c r="G241" s="634"/>
      <c r="H241" s="535"/>
      <c r="I241" s="535"/>
      <c r="J241" s="547">
        <v>0.625</v>
      </c>
      <c r="K241" s="522">
        <v>8</v>
      </c>
      <c r="L241" s="508" t="s">
        <v>594</v>
      </c>
      <c r="M241" s="569"/>
      <c r="N241" s="564"/>
      <c r="O241" s="565"/>
    </row>
    <row r="242" spans="2:15" ht="17.25">
      <c r="B242" s="559">
        <v>0.625</v>
      </c>
      <c r="C242" s="485">
        <v>4</v>
      </c>
      <c r="D242" s="634"/>
      <c r="E242" s="634"/>
      <c r="F242" s="634"/>
      <c r="G242" s="634"/>
      <c r="H242" s="535"/>
      <c r="I242" s="535"/>
      <c r="J242" s="566"/>
      <c r="K242" s="566"/>
      <c r="L242" s="562"/>
      <c r="M242" s="562"/>
      <c r="N242" s="566"/>
      <c r="O242" s="567"/>
    </row>
    <row r="243" spans="2:15" ht="17.25">
      <c r="B243" s="559"/>
      <c r="C243" s="462"/>
      <c r="D243" s="568"/>
      <c r="E243" s="568"/>
      <c r="F243" s="462"/>
      <c r="G243" s="545"/>
      <c r="H243" s="535"/>
      <c r="I243" s="535"/>
      <c r="J243" s="535"/>
      <c r="K243" s="535"/>
      <c r="L243" s="534"/>
      <c r="M243" s="534"/>
      <c r="N243" s="535"/>
      <c r="O243" s="558"/>
    </row>
    <row r="244" spans="2:15" ht="17.25">
      <c r="B244" s="535"/>
      <c r="C244" s="534"/>
      <c r="D244" s="534"/>
      <c r="E244" s="534"/>
      <c r="F244" s="534"/>
      <c r="G244" s="558"/>
      <c r="H244" s="535"/>
      <c r="I244" s="535"/>
      <c r="J244" s="535"/>
      <c r="K244" s="535"/>
      <c r="L244" s="534"/>
      <c r="M244" s="534"/>
      <c r="N244" s="535"/>
      <c r="O244" s="558"/>
    </row>
  </sheetData>
  <sheetProtection selectLockedCells="1" selectUnlockedCells="1"/>
  <mergeCells count="46">
    <mergeCell ref="L8:O8"/>
    <mergeCell ref="D15:G15"/>
    <mergeCell ref="J15:O15"/>
    <mergeCell ref="L25:O25"/>
    <mergeCell ref="D32:G32"/>
    <mergeCell ref="J32:O32"/>
    <mergeCell ref="L42:O42"/>
    <mergeCell ref="D49:G49"/>
    <mergeCell ref="J49:O49"/>
    <mergeCell ref="L59:O59"/>
    <mergeCell ref="L61:O70"/>
    <mergeCell ref="D66:G66"/>
    <mergeCell ref="J66:K66"/>
    <mergeCell ref="D68:G71"/>
    <mergeCell ref="L76:O76"/>
    <mergeCell ref="D83:G83"/>
    <mergeCell ref="J83:O83"/>
    <mergeCell ref="L93:O93"/>
    <mergeCell ref="D100:G100"/>
    <mergeCell ref="J100:O100"/>
    <mergeCell ref="L110:O110"/>
    <mergeCell ref="D117:G117"/>
    <mergeCell ref="J117:O117"/>
    <mergeCell ref="L127:O127"/>
    <mergeCell ref="D134:G134"/>
    <mergeCell ref="J134:O134"/>
    <mergeCell ref="L144:O144"/>
    <mergeCell ref="D151:G151"/>
    <mergeCell ref="J151:O151"/>
    <mergeCell ref="L161:O161"/>
    <mergeCell ref="D168:G168"/>
    <mergeCell ref="J168:O168"/>
    <mergeCell ref="L195:O195"/>
    <mergeCell ref="D202:G202"/>
    <mergeCell ref="J202:O202"/>
    <mergeCell ref="L213:O213"/>
    <mergeCell ref="D220:G220"/>
    <mergeCell ref="L178:O178"/>
    <mergeCell ref="D185:G185"/>
    <mergeCell ref="J185:O185"/>
    <mergeCell ref="L230:O230"/>
    <mergeCell ref="D237:G237"/>
    <mergeCell ref="J237:O237"/>
    <mergeCell ref="L215:O224"/>
    <mergeCell ref="D222:G225"/>
    <mergeCell ref="D239:G242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zoomScale="60" zoomScaleNormal="60" zoomScalePageLayoutView="0" workbookViewId="0" topLeftCell="A4">
      <selection activeCell="I33" sqref="I33"/>
    </sheetView>
  </sheetViews>
  <sheetFormatPr defaultColWidth="7.69921875" defaultRowHeight="15"/>
  <cols>
    <col min="1" max="1" width="5.796875" style="15" customWidth="1"/>
    <col min="2" max="2" width="9.796875" style="15" customWidth="1"/>
    <col min="3" max="3" width="9.796875" style="1" customWidth="1"/>
    <col min="4" max="4" width="9.796875" style="15" customWidth="1"/>
    <col min="5" max="5" width="24.796875" style="1" customWidth="1"/>
    <col min="6" max="6" width="17.59765625" style="15" customWidth="1"/>
    <col min="7" max="7" width="12" style="15" customWidth="1"/>
    <col min="8" max="8" width="7.296875" style="15" customWidth="1"/>
    <col min="9" max="9" width="17.59765625" style="15" customWidth="1"/>
    <col min="10" max="10" width="11.09765625" style="15" customWidth="1"/>
    <col min="11" max="11" width="7.296875" style="15" customWidth="1"/>
    <col min="12" max="12" width="12.796875" style="15" customWidth="1"/>
    <col min="13" max="13" width="16.19921875" style="1" customWidth="1"/>
    <col min="14" max="14" width="20.796875" style="16" customWidth="1"/>
    <col min="15" max="15" width="17.59765625" style="15" customWidth="1"/>
    <col min="16" max="16384" width="7.69921875" style="15" customWidth="1"/>
  </cols>
  <sheetData>
    <row r="1" spans="2:15" ht="21" customHeight="1">
      <c r="B1" s="17" t="s">
        <v>45</v>
      </c>
      <c r="C1" s="18"/>
      <c r="D1" s="18"/>
      <c r="E1" s="16"/>
      <c r="F1" s="19"/>
      <c r="G1" s="19"/>
      <c r="H1" s="19"/>
      <c r="I1" s="19"/>
      <c r="J1" s="19"/>
      <c r="K1" s="19"/>
      <c r="L1" s="19"/>
      <c r="M1" s="20"/>
      <c r="O1" s="21"/>
    </row>
    <row r="2" spans="2:15" ht="21" customHeight="1">
      <c r="B2" s="22" t="s">
        <v>46</v>
      </c>
      <c r="C2" s="22"/>
      <c r="D2" s="22"/>
      <c r="E2" s="19"/>
      <c r="F2" s="19"/>
      <c r="G2" s="19"/>
      <c r="H2" s="19"/>
      <c r="I2" s="19"/>
      <c r="J2" s="19"/>
      <c r="K2" s="23"/>
      <c r="L2" s="23"/>
      <c r="M2" s="20"/>
      <c r="O2" s="21"/>
    </row>
    <row r="3" spans="2:15" ht="21" customHeight="1">
      <c r="B3" s="24" t="s">
        <v>47</v>
      </c>
      <c r="C3" s="25"/>
      <c r="D3" s="25"/>
      <c r="E3" s="16"/>
      <c r="F3" s="23"/>
      <c r="G3" s="23"/>
      <c r="H3" s="23"/>
      <c r="I3" s="23"/>
      <c r="J3" s="23"/>
      <c r="K3" s="23"/>
      <c r="L3" s="23"/>
      <c r="M3" s="26"/>
      <c r="N3" s="27"/>
      <c r="O3" s="28"/>
    </row>
    <row r="4" spans="2:15" ht="21" customHeight="1">
      <c r="B4" s="29" t="s">
        <v>48</v>
      </c>
      <c r="C4" s="30" t="s">
        <v>49</v>
      </c>
      <c r="D4" s="31" t="s">
        <v>50</v>
      </c>
      <c r="E4" s="32" t="s">
        <v>51</v>
      </c>
      <c r="F4" s="33"/>
      <c r="G4" s="34"/>
      <c r="H4" s="35" t="s">
        <v>52</v>
      </c>
      <c r="I4" s="33"/>
      <c r="J4" s="34"/>
      <c r="K4" s="35" t="s">
        <v>52</v>
      </c>
      <c r="L4" s="36" t="s">
        <v>53</v>
      </c>
      <c r="M4" s="32" t="s">
        <v>54</v>
      </c>
      <c r="N4" s="32"/>
      <c r="O4" s="37"/>
    </row>
    <row r="5" spans="2:15" ht="21" customHeight="1">
      <c r="B5" s="38" t="s">
        <v>55</v>
      </c>
      <c r="C5" s="39" t="s">
        <v>56</v>
      </c>
      <c r="D5" s="40" t="s">
        <v>57</v>
      </c>
      <c r="E5" s="41" t="s">
        <v>58</v>
      </c>
      <c r="F5" s="42" t="s">
        <v>59</v>
      </c>
      <c r="G5" s="42" t="s">
        <v>60</v>
      </c>
      <c r="H5" s="43" t="s">
        <v>61</v>
      </c>
      <c r="I5" s="42" t="s">
        <v>62</v>
      </c>
      <c r="J5" s="42" t="s">
        <v>60</v>
      </c>
      <c r="K5" s="43" t="s">
        <v>61</v>
      </c>
      <c r="L5" s="44" t="s">
        <v>61</v>
      </c>
      <c r="M5" s="41" t="s">
        <v>56</v>
      </c>
      <c r="N5" s="41"/>
      <c r="O5" s="45" t="s">
        <v>63</v>
      </c>
    </row>
    <row r="6" spans="2:15" ht="19.5" customHeight="1">
      <c r="B6" s="46">
        <v>1</v>
      </c>
      <c r="C6" s="47" t="str">
        <f aca="true" t="shared" si="0" ref="C6:C58">M6</f>
        <v>AA1</v>
      </c>
      <c r="D6" s="47">
        <v>1</v>
      </c>
      <c r="E6" s="48" t="s">
        <v>64</v>
      </c>
      <c r="F6" s="49" t="s">
        <v>65</v>
      </c>
      <c r="G6" s="48" t="s">
        <v>66</v>
      </c>
      <c r="H6" s="48">
        <v>103.5</v>
      </c>
      <c r="I6" s="49" t="s">
        <v>67</v>
      </c>
      <c r="J6" s="48" t="s">
        <v>68</v>
      </c>
      <c r="K6" s="48">
        <v>103.5</v>
      </c>
      <c r="L6" s="50">
        <f aca="true" t="shared" si="1" ref="L6:L58">H6+K6</f>
        <v>207</v>
      </c>
      <c r="M6" s="51" t="s">
        <v>69</v>
      </c>
      <c r="N6" s="52"/>
      <c r="O6" s="53"/>
    </row>
    <row r="7" spans="2:15" ht="19.5" customHeight="1">
      <c r="B7" s="54">
        <v>2</v>
      </c>
      <c r="C7" s="55" t="str">
        <f t="shared" si="0"/>
        <v>AA2</v>
      </c>
      <c r="D7" s="55">
        <v>2</v>
      </c>
      <c r="E7" s="56" t="s">
        <v>70</v>
      </c>
      <c r="F7" s="57" t="s">
        <v>71</v>
      </c>
      <c r="G7" s="56" t="s">
        <v>72</v>
      </c>
      <c r="H7" s="56">
        <v>99</v>
      </c>
      <c r="I7" s="57" t="s">
        <v>73</v>
      </c>
      <c r="J7" s="56" t="s">
        <v>74</v>
      </c>
      <c r="K7" s="56">
        <v>90.75</v>
      </c>
      <c r="L7" s="58">
        <f t="shared" si="1"/>
        <v>189.75</v>
      </c>
      <c r="M7" s="59" t="s">
        <v>75</v>
      </c>
      <c r="N7" s="52"/>
      <c r="O7" s="53"/>
    </row>
    <row r="8" spans="2:15" ht="19.5" customHeight="1">
      <c r="B8" s="54">
        <v>3</v>
      </c>
      <c r="C8" s="55" t="str">
        <f t="shared" si="0"/>
        <v>AA3</v>
      </c>
      <c r="D8" s="55">
        <v>3</v>
      </c>
      <c r="E8" s="56" t="s">
        <v>76</v>
      </c>
      <c r="F8" s="57" t="s">
        <v>77</v>
      </c>
      <c r="G8" s="56" t="s">
        <v>78</v>
      </c>
      <c r="H8" s="56">
        <v>85</v>
      </c>
      <c r="I8" s="57" t="s">
        <v>79</v>
      </c>
      <c r="J8" s="56" t="s">
        <v>80</v>
      </c>
      <c r="K8" s="56">
        <v>85</v>
      </c>
      <c r="L8" s="60">
        <f t="shared" si="1"/>
        <v>170</v>
      </c>
      <c r="M8" s="59" t="s">
        <v>81</v>
      </c>
      <c r="N8" s="52"/>
      <c r="O8" s="53"/>
    </row>
    <row r="9" spans="2:15" ht="19.5" customHeight="1">
      <c r="B9" s="54">
        <v>4</v>
      </c>
      <c r="C9" s="55" t="str">
        <f t="shared" si="0"/>
        <v>AA4</v>
      </c>
      <c r="D9" s="55">
        <v>4</v>
      </c>
      <c r="E9" s="56" t="s">
        <v>82</v>
      </c>
      <c r="F9" s="57" t="s">
        <v>83</v>
      </c>
      <c r="G9" s="56" t="s">
        <v>84</v>
      </c>
      <c r="H9" s="56">
        <v>66</v>
      </c>
      <c r="I9" s="57" t="s">
        <v>85</v>
      </c>
      <c r="J9" s="56" t="s">
        <v>86</v>
      </c>
      <c r="K9" s="56">
        <v>87</v>
      </c>
      <c r="L9" s="60">
        <f t="shared" si="1"/>
        <v>153</v>
      </c>
      <c r="M9" s="59" t="s">
        <v>87</v>
      </c>
      <c r="N9" s="52"/>
      <c r="O9" s="53"/>
    </row>
    <row r="10" spans="2:15" ht="19.5" customHeight="1">
      <c r="B10" s="54">
        <v>5</v>
      </c>
      <c r="C10" s="55" t="str">
        <f t="shared" si="0"/>
        <v>AA5</v>
      </c>
      <c r="D10" s="55">
        <v>5</v>
      </c>
      <c r="E10" s="56" t="s">
        <v>88</v>
      </c>
      <c r="F10" s="57" t="s">
        <v>89</v>
      </c>
      <c r="G10" s="56" t="s">
        <v>90</v>
      </c>
      <c r="H10" s="56">
        <v>75</v>
      </c>
      <c r="I10" s="57" t="s">
        <v>91</v>
      </c>
      <c r="J10" s="56" t="s">
        <v>92</v>
      </c>
      <c r="K10" s="56">
        <v>75</v>
      </c>
      <c r="L10" s="60">
        <f t="shared" si="1"/>
        <v>150</v>
      </c>
      <c r="M10" s="59" t="s">
        <v>93</v>
      </c>
      <c r="N10" s="52"/>
      <c r="O10" s="53"/>
    </row>
    <row r="11" spans="2:15" ht="19.5" customHeight="1">
      <c r="B11" s="54">
        <v>6</v>
      </c>
      <c r="C11" s="55" t="str">
        <f t="shared" si="0"/>
        <v>AA6</v>
      </c>
      <c r="D11" s="55">
        <v>6</v>
      </c>
      <c r="E11" s="56" t="s">
        <v>94</v>
      </c>
      <c r="F11" s="57" t="s">
        <v>95</v>
      </c>
      <c r="G11" s="56" t="s">
        <v>96</v>
      </c>
      <c r="H11" s="56">
        <v>96</v>
      </c>
      <c r="I11" s="57" t="s">
        <v>97</v>
      </c>
      <c r="J11" s="56" t="s">
        <v>98</v>
      </c>
      <c r="K11" s="56">
        <v>51.75</v>
      </c>
      <c r="L11" s="60">
        <f t="shared" si="1"/>
        <v>147.75</v>
      </c>
      <c r="M11" s="59" t="s">
        <v>99</v>
      </c>
      <c r="N11" s="52"/>
      <c r="O11" s="53"/>
    </row>
    <row r="12" spans="2:15" ht="19.5" customHeight="1">
      <c r="B12" s="54">
        <v>7</v>
      </c>
      <c r="C12" s="55" t="str">
        <f t="shared" si="0"/>
        <v>AA7</v>
      </c>
      <c r="D12" s="55">
        <v>7</v>
      </c>
      <c r="E12" s="56" t="s">
        <v>100</v>
      </c>
      <c r="F12" s="57" t="s">
        <v>101</v>
      </c>
      <c r="G12" s="56" t="s">
        <v>102</v>
      </c>
      <c r="H12" s="56">
        <v>94.5</v>
      </c>
      <c r="I12" s="57" t="s">
        <v>103</v>
      </c>
      <c r="J12" s="56" t="s">
        <v>104</v>
      </c>
      <c r="K12" s="56">
        <v>49.5</v>
      </c>
      <c r="L12" s="60">
        <f t="shared" si="1"/>
        <v>144</v>
      </c>
      <c r="M12" s="59" t="s">
        <v>105</v>
      </c>
      <c r="N12" s="52"/>
      <c r="O12" s="53"/>
    </row>
    <row r="13" spans="2:16" ht="19.5" customHeight="1">
      <c r="B13" s="61">
        <v>8</v>
      </c>
      <c r="C13" s="62" t="str">
        <f t="shared" si="0"/>
        <v>AA8</v>
      </c>
      <c r="D13" s="62">
        <v>8</v>
      </c>
      <c r="E13" s="63" t="s">
        <v>106</v>
      </c>
      <c r="F13" s="63" t="s">
        <v>107</v>
      </c>
      <c r="G13" s="64" t="s">
        <v>108</v>
      </c>
      <c r="H13" s="63">
        <v>37.5</v>
      </c>
      <c r="I13" s="63" t="s">
        <v>109</v>
      </c>
      <c r="J13" s="64" t="s">
        <v>110</v>
      </c>
      <c r="K13" s="63">
        <v>99</v>
      </c>
      <c r="L13" s="65">
        <f t="shared" si="1"/>
        <v>136.5</v>
      </c>
      <c r="M13" s="66" t="s">
        <v>111</v>
      </c>
      <c r="N13" s="52"/>
      <c r="O13" s="53"/>
      <c r="P13" s="67"/>
    </row>
    <row r="14" spans="2:15" ht="19.5" customHeight="1">
      <c r="B14" s="68">
        <v>9</v>
      </c>
      <c r="C14" s="69" t="str">
        <f t="shared" si="0"/>
        <v>A1</v>
      </c>
      <c r="D14" s="69">
        <v>9</v>
      </c>
      <c r="E14" s="69" t="s">
        <v>112</v>
      </c>
      <c r="F14" s="70" t="s">
        <v>113</v>
      </c>
      <c r="G14" s="69" t="s">
        <v>114</v>
      </c>
      <c r="H14" s="69">
        <v>61.5</v>
      </c>
      <c r="I14" s="70" t="s">
        <v>115</v>
      </c>
      <c r="J14" s="69" t="s">
        <v>116</v>
      </c>
      <c r="K14" s="69">
        <v>61.5</v>
      </c>
      <c r="L14" s="71">
        <f t="shared" si="1"/>
        <v>123</v>
      </c>
      <c r="M14" s="72" t="s">
        <v>117</v>
      </c>
      <c r="N14" s="73"/>
      <c r="O14" s="69"/>
    </row>
    <row r="15" spans="2:15" ht="19.5" customHeight="1">
      <c r="B15" s="68">
        <v>10</v>
      </c>
      <c r="C15" s="53" t="str">
        <f t="shared" si="0"/>
        <v>B1</v>
      </c>
      <c r="D15" s="53">
        <v>10</v>
      </c>
      <c r="E15" s="74" t="s">
        <v>118</v>
      </c>
      <c r="F15" s="74" t="s">
        <v>119</v>
      </c>
      <c r="G15" s="75" t="s">
        <v>120</v>
      </c>
      <c r="H15" s="74">
        <v>51</v>
      </c>
      <c r="I15" s="74" t="s">
        <v>121</v>
      </c>
      <c r="J15" s="75" t="s">
        <v>122</v>
      </c>
      <c r="K15" s="74">
        <v>66</v>
      </c>
      <c r="L15" s="76">
        <f t="shared" si="1"/>
        <v>117</v>
      </c>
      <c r="M15" s="59" t="s">
        <v>123</v>
      </c>
      <c r="N15" s="52"/>
      <c r="O15" s="53"/>
    </row>
    <row r="16" spans="2:15" ht="19.5" customHeight="1">
      <c r="B16" s="68">
        <v>11</v>
      </c>
      <c r="C16" s="53" t="str">
        <f t="shared" si="0"/>
        <v>C1</v>
      </c>
      <c r="D16" s="53">
        <v>11</v>
      </c>
      <c r="E16" s="75" t="s">
        <v>124</v>
      </c>
      <c r="F16" s="74" t="s">
        <v>125</v>
      </c>
      <c r="G16" s="75" t="s">
        <v>126</v>
      </c>
      <c r="H16" s="74">
        <v>70</v>
      </c>
      <c r="I16" s="74" t="s">
        <v>127</v>
      </c>
      <c r="J16" s="77" t="s">
        <v>128</v>
      </c>
      <c r="K16" s="53">
        <v>43</v>
      </c>
      <c r="L16" s="78">
        <f t="shared" si="1"/>
        <v>113</v>
      </c>
      <c r="M16" s="59" t="s">
        <v>129</v>
      </c>
      <c r="N16" s="52"/>
      <c r="O16" s="53"/>
    </row>
    <row r="17" spans="2:16" ht="19.5" customHeight="1">
      <c r="B17" s="68">
        <v>12</v>
      </c>
      <c r="C17" s="53" t="str">
        <f t="shared" si="0"/>
        <v>D1</v>
      </c>
      <c r="D17" s="53">
        <v>12</v>
      </c>
      <c r="E17" s="75" t="s">
        <v>130</v>
      </c>
      <c r="F17" s="74" t="s">
        <v>131</v>
      </c>
      <c r="G17" s="75" t="s">
        <v>132</v>
      </c>
      <c r="H17" s="74">
        <v>57</v>
      </c>
      <c r="I17" s="74" t="s">
        <v>133</v>
      </c>
      <c r="J17" s="75" t="s">
        <v>134</v>
      </c>
      <c r="K17" s="53">
        <v>54</v>
      </c>
      <c r="L17" s="78">
        <f t="shared" si="1"/>
        <v>111</v>
      </c>
      <c r="M17" s="59" t="s">
        <v>135</v>
      </c>
      <c r="N17" s="52"/>
      <c r="O17" s="53"/>
      <c r="P17" s="67"/>
    </row>
    <row r="18" spans="2:15" ht="19.5" customHeight="1">
      <c r="B18" s="68">
        <v>13</v>
      </c>
      <c r="C18" s="53" t="str">
        <f t="shared" si="0"/>
        <v>E1</v>
      </c>
      <c r="D18" s="53">
        <v>13</v>
      </c>
      <c r="E18" s="77" t="s">
        <v>136</v>
      </c>
      <c r="F18" s="53" t="s">
        <v>137</v>
      </c>
      <c r="G18" s="75" t="s">
        <v>138</v>
      </c>
      <c r="H18" s="53">
        <v>58.5</v>
      </c>
      <c r="I18" s="53" t="s">
        <v>139</v>
      </c>
      <c r="J18" s="75" t="s">
        <v>140</v>
      </c>
      <c r="K18" s="53">
        <v>51.75</v>
      </c>
      <c r="L18" s="78">
        <f t="shared" si="1"/>
        <v>110.25</v>
      </c>
      <c r="M18" s="59" t="s">
        <v>141</v>
      </c>
      <c r="N18" s="52"/>
      <c r="O18" s="53"/>
    </row>
    <row r="19" spans="2:15" ht="19.5" customHeight="1">
      <c r="B19" s="68">
        <v>14</v>
      </c>
      <c r="C19" s="53" t="str">
        <f t="shared" si="0"/>
        <v>F1</v>
      </c>
      <c r="D19" s="53">
        <v>14</v>
      </c>
      <c r="E19" s="74" t="s">
        <v>142</v>
      </c>
      <c r="F19" s="74" t="s">
        <v>143</v>
      </c>
      <c r="G19" s="75" t="s">
        <v>144</v>
      </c>
      <c r="H19" s="74">
        <v>48.75</v>
      </c>
      <c r="I19" s="74" t="s">
        <v>145</v>
      </c>
      <c r="J19" s="77" t="s">
        <v>146</v>
      </c>
      <c r="K19" s="53">
        <v>48.75</v>
      </c>
      <c r="L19" s="78">
        <f t="shared" si="1"/>
        <v>97.5</v>
      </c>
      <c r="M19" s="59" t="s">
        <v>147</v>
      </c>
      <c r="N19" s="52"/>
      <c r="O19" s="53"/>
    </row>
    <row r="20" spans="2:15" ht="19.5" customHeight="1">
      <c r="B20" s="68">
        <v>15</v>
      </c>
      <c r="C20" s="53" t="str">
        <f t="shared" si="0"/>
        <v>G1</v>
      </c>
      <c r="D20" s="53">
        <v>15</v>
      </c>
      <c r="E20" s="77" t="s">
        <v>148</v>
      </c>
      <c r="F20" s="53" t="s">
        <v>149</v>
      </c>
      <c r="G20" s="75" t="s">
        <v>150</v>
      </c>
      <c r="H20" s="53">
        <v>45</v>
      </c>
      <c r="I20" s="53" t="s">
        <v>151</v>
      </c>
      <c r="J20" s="75" t="s">
        <v>152</v>
      </c>
      <c r="K20" s="53">
        <v>45</v>
      </c>
      <c r="L20" s="78">
        <f t="shared" si="1"/>
        <v>90</v>
      </c>
      <c r="M20" s="79" t="s">
        <v>153</v>
      </c>
      <c r="N20" s="80" t="s">
        <v>154</v>
      </c>
      <c r="O20" s="53"/>
    </row>
    <row r="21" spans="2:15" ht="19.5" customHeight="1">
      <c r="B21" s="68">
        <v>16</v>
      </c>
      <c r="C21" s="53" t="str">
        <f t="shared" si="0"/>
        <v>H1</v>
      </c>
      <c r="D21" s="53">
        <v>15</v>
      </c>
      <c r="E21" s="77" t="s">
        <v>155</v>
      </c>
      <c r="F21" s="53" t="s">
        <v>156</v>
      </c>
      <c r="G21" s="77" t="s">
        <v>157</v>
      </c>
      <c r="H21" s="53">
        <v>45</v>
      </c>
      <c r="I21" s="53" t="s">
        <v>158</v>
      </c>
      <c r="J21" s="77" t="s">
        <v>159</v>
      </c>
      <c r="K21" s="53">
        <v>45</v>
      </c>
      <c r="L21" s="78">
        <f t="shared" si="1"/>
        <v>90</v>
      </c>
      <c r="M21" s="79" t="s">
        <v>160</v>
      </c>
      <c r="N21" s="80" t="s">
        <v>154</v>
      </c>
      <c r="O21" s="53"/>
    </row>
    <row r="22" spans="2:15" ht="19.5" customHeight="1">
      <c r="B22" s="68">
        <v>17</v>
      </c>
      <c r="C22" s="53" t="str">
        <f t="shared" si="0"/>
        <v>H2</v>
      </c>
      <c r="D22" s="53">
        <v>17</v>
      </c>
      <c r="E22" s="75" t="s">
        <v>161</v>
      </c>
      <c r="F22" s="74" t="s">
        <v>162</v>
      </c>
      <c r="G22" s="75" t="s">
        <v>163</v>
      </c>
      <c r="H22" s="74">
        <v>45.75</v>
      </c>
      <c r="I22" s="74" t="s">
        <v>164</v>
      </c>
      <c r="J22" s="77" t="s">
        <v>165</v>
      </c>
      <c r="K22" s="53">
        <v>40.5</v>
      </c>
      <c r="L22" s="78">
        <f t="shared" si="1"/>
        <v>86.25</v>
      </c>
      <c r="M22" s="59" t="s">
        <v>166</v>
      </c>
      <c r="N22" s="52"/>
      <c r="O22" s="53"/>
    </row>
    <row r="23" spans="2:15" ht="19.5" customHeight="1">
      <c r="B23" s="68">
        <v>18</v>
      </c>
      <c r="C23" s="53" t="str">
        <f t="shared" si="0"/>
        <v>G2</v>
      </c>
      <c r="D23" s="53">
        <v>18</v>
      </c>
      <c r="E23" s="74" t="s">
        <v>167</v>
      </c>
      <c r="F23" s="81" t="s">
        <v>168</v>
      </c>
      <c r="G23" s="75" t="s">
        <v>169</v>
      </c>
      <c r="H23" s="74">
        <v>37.5</v>
      </c>
      <c r="I23" s="74" t="s">
        <v>170</v>
      </c>
      <c r="J23" s="75" t="s">
        <v>171</v>
      </c>
      <c r="K23" s="74">
        <v>46.5</v>
      </c>
      <c r="L23" s="76">
        <f t="shared" si="1"/>
        <v>84</v>
      </c>
      <c r="M23" s="79" t="s">
        <v>172</v>
      </c>
      <c r="N23" s="80" t="s">
        <v>173</v>
      </c>
      <c r="O23" s="53"/>
    </row>
    <row r="24" spans="2:15" ht="19.5" customHeight="1">
      <c r="B24" s="68">
        <v>19</v>
      </c>
      <c r="C24" s="53" t="str">
        <f t="shared" si="0"/>
        <v>F2</v>
      </c>
      <c r="D24" s="53">
        <v>18</v>
      </c>
      <c r="E24" s="77" t="s">
        <v>174</v>
      </c>
      <c r="F24" s="53" t="s">
        <v>175</v>
      </c>
      <c r="G24" s="75" t="s">
        <v>176</v>
      </c>
      <c r="H24" s="53">
        <v>48</v>
      </c>
      <c r="I24" s="53" t="s">
        <v>177</v>
      </c>
      <c r="J24" s="75" t="s">
        <v>178</v>
      </c>
      <c r="K24" s="53">
        <v>36</v>
      </c>
      <c r="L24" s="78">
        <f t="shared" si="1"/>
        <v>84</v>
      </c>
      <c r="M24" s="79" t="s">
        <v>179</v>
      </c>
      <c r="N24" s="80" t="s">
        <v>173</v>
      </c>
      <c r="O24" s="53"/>
    </row>
    <row r="25" spans="2:16" ht="19.5" customHeight="1">
      <c r="B25" s="68">
        <v>20</v>
      </c>
      <c r="C25" s="53" t="str">
        <f t="shared" si="0"/>
        <v>E2</v>
      </c>
      <c r="D25" s="53">
        <v>20</v>
      </c>
      <c r="E25" s="74" t="s">
        <v>180</v>
      </c>
      <c r="F25" s="74" t="s">
        <v>181</v>
      </c>
      <c r="G25" s="75" t="s">
        <v>182</v>
      </c>
      <c r="H25" s="74">
        <v>78</v>
      </c>
      <c r="I25" s="74" t="s">
        <v>183</v>
      </c>
      <c r="J25" s="82" t="s">
        <v>184</v>
      </c>
      <c r="K25" s="74">
        <v>0</v>
      </c>
      <c r="L25" s="76">
        <f t="shared" si="1"/>
        <v>78</v>
      </c>
      <c r="M25" s="59" t="s">
        <v>185</v>
      </c>
      <c r="N25" s="52"/>
      <c r="O25" s="53"/>
      <c r="P25" s="83"/>
    </row>
    <row r="26" spans="2:15" ht="19.5" customHeight="1">
      <c r="B26" s="68">
        <v>21</v>
      </c>
      <c r="C26" s="53" t="str">
        <f t="shared" si="0"/>
        <v>D2</v>
      </c>
      <c r="D26" s="53">
        <v>21</v>
      </c>
      <c r="E26" s="74" t="s">
        <v>186</v>
      </c>
      <c r="F26" s="74" t="s">
        <v>187</v>
      </c>
      <c r="G26" s="75" t="s">
        <v>188</v>
      </c>
      <c r="H26" s="74">
        <v>37.5</v>
      </c>
      <c r="I26" s="74" t="s">
        <v>189</v>
      </c>
      <c r="J26" s="75" t="s">
        <v>190</v>
      </c>
      <c r="K26" s="74">
        <v>37.5</v>
      </c>
      <c r="L26" s="76">
        <f t="shared" si="1"/>
        <v>75</v>
      </c>
      <c r="M26" s="59" t="s">
        <v>191</v>
      </c>
      <c r="N26" s="52"/>
      <c r="O26" s="53"/>
    </row>
    <row r="27" spans="2:15" ht="19.5" customHeight="1">
      <c r="B27" s="68">
        <v>22</v>
      </c>
      <c r="C27" s="53" t="str">
        <f t="shared" si="0"/>
        <v>C2</v>
      </c>
      <c r="D27" s="53">
        <v>22</v>
      </c>
      <c r="E27" s="53" t="s">
        <v>192</v>
      </c>
      <c r="F27" s="53" t="s">
        <v>193</v>
      </c>
      <c r="G27" s="77" t="s">
        <v>194</v>
      </c>
      <c r="H27" s="53">
        <v>42</v>
      </c>
      <c r="I27" s="53" t="s">
        <v>195</v>
      </c>
      <c r="J27" s="77" t="s">
        <v>196</v>
      </c>
      <c r="K27" s="53">
        <v>30.75</v>
      </c>
      <c r="L27" s="78">
        <f t="shared" si="1"/>
        <v>72.75</v>
      </c>
      <c r="M27" s="59" t="s">
        <v>197</v>
      </c>
      <c r="N27" s="52"/>
      <c r="O27" s="53"/>
    </row>
    <row r="28" spans="2:15" ht="19.5" customHeight="1">
      <c r="B28" s="68">
        <v>23</v>
      </c>
      <c r="C28" s="53" t="str">
        <f t="shared" si="0"/>
        <v>B2</v>
      </c>
      <c r="D28" s="53">
        <v>23</v>
      </c>
      <c r="E28" s="74" t="s">
        <v>198</v>
      </c>
      <c r="F28" s="74" t="s">
        <v>199</v>
      </c>
      <c r="G28" s="75" t="s">
        <v>200</v>
      </c>
      <c r="H28" s="74">
        <v>38.25</v>
      </c>
      <c r="I28" s="74" t="s">
        <v>201</v>
      </c>
      <c r="J28" s="77" t="s">
        <v>202</v>
      </c>
      <c r="K28" s="53">
        <v>30</v>
      </c>
      <c r="L28" s="78">
        <f t="shared" si="1"/>
        <v>68.25</v>
      </c>
      <c r="M28" s="59" t="s">
        <v>203</v>
      </c>
      <c r="N28" s="52"/>
      <c r="O28" s="53"/>
    </row>
    <row r="29" spans="2:15" ht="19.5" customHeight="1">
      <c r="B29" s="68">
        <v>24</v>
      </c>
      <c r="C29" s="53" t="str">
        <f t="shared" si="0"/>
        <v>A2</v>
      </c>
      <c r="D29" s="53">
        <v>24</v>
      </c>
      <c r="E29" s="53" t="s">
        <v>204</v>
      </c>
      <c r="F29" s="53" t="s">
        <v>205</v>
      </c>
      <c r="G29" s="77" t="s">
        <v>206</v>
      </c>
      <c r="H29" s="53">
        <v>49.5</v>
      </c>
      <c r="I29" s="53" t="s">
        <v>207</v>
      </c>
      <c r="J29" s="77" t="s">
        <v>208</v>
      </c>
      <c r="K29" s="53">
        <v>0</v>
      </c>
      <c r="L29" s="78">
        <f t="shared" si="1"/>
        <v>49.5</v>
      </c>
      <c r="M29" s="59" t="s">
        <v>209</v>
      </c>
      <c r="N29" s="52"/>
      <c r="O29" s="53"/>
    </row>
    <row r="30" spans="2:15" ht="19.5" customHeight="1">
      <c r="B30" s="68">
        <v>25</v>
      </c>
      <c r="C30" s="53" t="str">
        <f t="shared" si="0"/>
        <v>A3</v>
      </c>
      <c r="D30" s="53">
        <v>25</v>
      </c>
      <c r="E30" s="74" t="s">
        <v>210</v>
      </c>
      <c r="F30" s="74" t="s">
        <v>211</v>
      </c>
      <c r="G30" s="75" t="s">
        <v>212</v>
      </c>
      <c r="H30" s="74">
        <v>22.5</v>
      </c>
      <c r="I30" s="74" t="s">
        <v>213</v>
      </c>
      <c r="J30" s="75" t="s">
        <v>214</v>
      </c>
      <c r="K30" s="74">
        <v>22.5</v>
      </c>
      <c r="L30" s="76">
        <f t="shared" si="1"/>
        <v>45</v>
      </c>
      <c r="M30" s="59" t="s">
        <v>215</v>
      </c>
      <c r="N30" s="52"/>
      <c r="O30" s="53"/>
    </row>
    <row r="31" spans="2:15" ht="19.5" customHeight="1">
      <c r="B31" s="68">
        <v>26</v>
      </c>
      <c r="C31" s="53" t="str">
        <f t="shared" si="0"/>
        <v>B3</v>
      </c>
      <c r="D31" s="53">
        <v>26</v>
      </c>
      <c r="E31" s="77" t="s">
        <v>216</v>
      </c>
      <c r="F31" s="53" t="s">
        <v>217</v>
      </c>
      <c r="G31" s="75" t="s">
        <v>218</v>
      </c>
      <c r="H31" s="53">
        <v>42</v>
      </c>
      <c r="I31" s="53" t="s">
        <v>219</v>
      </c>
      <c r="J31" s="82" t="s">
        <v>184</v>
      </c>
      <c r="K31" s="53">
        <v>0</v>
      </c>
      <c r="L31" s="78">
        <f t="shared" si="1"/>
        <v>42</v>
      </c>
      <c r="M31" s="59" t="s">
        <v>220</v>
      </c>
      <c r="N31" s="52"/>
      <c r="O31" s="53"/>
    </row>
    <row r="32" spans="2:15" ht="19.5" customHeight="1">
      <c r="B32" s="68">
        <v>27</v>
      </c>
      <c r="C32" s="53" t="str">
        <f t="shared" si="0"/>
        <v>C3</v>
      </c>
      <c r="D32" s="53">
        <v>27</v>
      </c>
      <c r="E32" s="75" t="s">
        <v>221</v>
      </c>
      <c r="F32" s="74" t="s">
        <v>222</v>
      </c>
      <c r="G32" s="75" t="s">
        <v>223</v>
      </c>
      <c r="H32" s="74">
        <v>0</v>
      </c>
      <c r="I32" s="74" t="s">
        <v>224</v>
      </c>
      <c r="J32" s="77" t="s">
        <v>225</v>
      </c>
      <c r="K32" s="53">
        <v>40.5</v>
      </c>
      <c r="L32" s="78">
        <f t="shared" si="1"/>
        <v>40.5</v>
      </c>
      <c r="M32" s="59" t="s">
        <v>226</v>
      </c>
      <c r="N32" s="52"/>
      <c r="O32" s="53"/>
    </row>
    <row r="33" spans="2:15" ht="19.5" customHeight="1">
      <c r="B33" s="68">
        <v>28</v>
      </c>
      <c r="C33" s="53" t="str">
        <f t="shared" si="0"/>
        <v>D3</v>
      </c>
      <c r="D33" s="53">
        <v>28</v>
      </c>
      <c r="E33" s="53" t="s">
        <v>227</v>
      </c>
      <c r="F33" s="53" t="s">
        <v>228</v>
      </c>
      <c r="G33" s="77" t="s">
        <v>229</v>
      </c>
      <c r="H33" s="53">
        <v>20</v>
      </c>
      <c r="I33" s="53" t="s">
        <v>230</v>
      </c>
      <c r="J33" s="77" t="s">
        <v>231</v>
      </c>
      <c r="K33" s="53">
        <v>16</v>
      </c>
      <c r="L33" s="78">
        <f t="shared" si="1"/>
        <v>36</v>
      </c>
      <c r="M33" s="59" t="s">
        <v>232</v>
      </c>
      <c r="N33" s="52"/>
      <c r="O33" s="53"/>
    </row>
    <row r="34" spans="2:15" ht="19.5" customHeight="1">
      <c r="B34" s="68">
        <v>29</v>
      </c>
      <c r="C34" s="53" t="str">
        <f t="shared" si="0"/>
        <v>E3</v>
      </c>
      <c r="D34" s="53">
        <v>29</v>
      </c>
      <c r="E34" s="74" t="s">
        <v>233</v>
      </c>
      <c r="F34" s="74" t="s">
        <v>234</v>
      </c>
      <c r="G34" s="75" t="s">
        <v>235</v>
      </c>
      <c r="H34" s="74">
        <v>24.75</v>
      </c>
      <c r="I34" s="74" t="s">
        <v>236</v>
      </c>
      <c r="J34" s="77" t="s">
        <v>237</v>
      </c>
      <c r="K34" s="53">
        <v>9.75</v>
      </c>
      <c r="L34" s="78">
        <f t="shared" si="1"/>
        <v>34.5</v>
      </c>
      <c r="M34" s="59" t="s">
        <v>238</v>
      </c>
      <c r="N34" s="80"/>
      <c r="O34" s="53"/>
    </row>
    <row r="35" spans="2:15" ht="19.5" customHeight="1">
      <c r="B35" s="68">
        <v>30</v>
      </c>
      <c r="C35" s="53" t="str">
        <f t="shared" si="0"/>
        <v>G3</v>
      </c>
      <c r="D35" s="53">
        <v>30</v>
      </c>
      <c r="E35" s="74" t="s">
        <v>239</v>
      </c>
      <c r="F35" s="74" t="s">
        <v>240</v>
      </c>
      <c r="G35" s="75" t="s">
        <v>241</v>
      </c>
      <c r="H35" s="74">
        <v>16.5</v>
      </c>
      <c r="I35" s="74" t="s">
        <v>242</v>
      </c>
      <c r="J35" s="75" t="s">
        <v>243</v>
      </c>
      <c r="K35" s="74">
        <v>16.5</v>
      </c>
      <c r="L35" s="76">
        <f t="shared" si="1"/>
        <v>33</v>
      </c>
      <c r="M35" s="79" t="s">
        <v>244</v>
      </c>
      <c r="N35" s="80" t="s">
        <v>245</v>
      </c>
      <c r="O35" s="53"/>
    </row>
    <row r="36" spans="2:15" ht="19.5" customHeight="1">
      <c r="B36" s="68">
        <v>31</v>
      </c>
      <c r="C36" s="53" t="str">
        <f t="shared" si="0"/>
        <v>F3</v>
      </c>
      <c r="D36" s="53">
        <v>30</v>
      </c>
      <c r="E36" s="77" t="s">
        <v>246</v>
      </c>
      <c r="F36" s="53" t="s">
        <v>247</v>
      </c>
      <c r="G36" s="75" t="s">
        <v>248</v>
      </c>
      <c r="H36" s="53">
        <v>0</v>
      </c>
      <c r="I36" s="53" t="s">
        <v>249</v>
      </c>
      <c r="J36" s="75" t="s">
        <v>250</v>
      </c>
      <c r="K36" s="53">
        <v>33</v>
      </c>
      <c r="L36" s="78">
        <f t="shared" si="1"/>
        <v>33</v>
      </c>
      <c r="M36" s="79" t="s">
        <v>251</v>
      </c>
      <c r="N36" s="80" t="s">
        <v>245</v>
      </c>
      <c r="O36" s="53"/>
    </row>
    <row r="37" spans="2:15" ht="19.5" customHeight="1">
      <c r="B37" s="68">
        <v>32</v>
      </c>
      <c r="C37" s="53" t="str">
        <f t="shared" si="0"/>
        <v>#33</v>
      </c>
      <c r="D37" s="53">
        <v>32</v>
      </c>
      <c r="E37" s="74" t="s">
        <v>252</v>
      </c>
      <c r="F37" s="74" t="s">
        <v>253</v>
      </c>
      <c r="G37" s="75" t="s">
        <v>254</v>
      </c>
      <c r="H37" s="74">
        <v>18</v>
      </c>
      <c r="I37" s="74" t="s">
        <v>255</v>
      </c>
      <c r="J37" s="75" t="s">
        <v>256</v>
      </c>
      <c r="K37" s="74">
        <v>0</v>
      </c>
      <c r="L37" s="76">
        <f t="shared" si="1"/>
        <v>18</v>
      </c>
      <c r="M37" s="79" t="s">
        <v>257</v>
      </c>
      <c r="N37" s="80" t="s">
        <v>258</v>
      </c>
      <c r="O37" s="53"/>
    </row>
    <row r="38" spans="2:15" ht="19.5" customHeight="1">
      <c r="B38" s="68">
        <v>33</v>
      </c>
      <c r="C38" s="53" t="str">
        <f t="shared" si="0"/>
        <v>#34</v>
      </c>
      <c r="D38" s="53">
        <v>32</v>
      </c>
      <c r="E38" s="74" t="s">
        <v>259</v>
      </c>
      <c r="F38" s="74" t="s">
        <v>260</v>
      </c>
      <c r="G38" s="75" t="s">
        <v>261</v>
      </c>
      <c r="H38" s="74">
        <v>9</v>
      </c>
      <c r="I38" s="74" t="s">
        <v>262</v>
      </c>
      <c r="J38" s="77" t="s">
        <v>263</v>
      </c>
      <c r="K38" s="53">
        <v>9</v>
      </c>
      <c r="L38" s="78">
        <f t="shared" si="1"/>
        <v>18</v>
      </c>
      <c r="M38" s="79" t="s">
        <v>264</v>
      </c>
      <c r="N38" s="80" t="s">
        <v>258</v>
      </c>
      <c r="O38" s="53"/>
    </row>
    <row r="39" spans="2:15" ht="19.5" customHeight="1">
      <c r="B39" s="68">
        <v>34</v>
      </c>
      <c r="C39" s="53" t="str">
        <f t="shared" si="0"/>
        <v>H3</v>
      </c>
      <c r="D39" s="53">
        <v>32</v>
      </c>
      <c r="E39" s="77" t="s">
        <v>265</v>
      </c>
      <c r="F39" s="53" t="s">
        <v>266</v>
      </c>
      <c r="G39" s="75" t="s">
        <v>267</v>
      </c>
      <c r="H39" s="53">
        <v>9</v>
      </c>
      <c r="I39" s="53" t="s">
        <v>268</v>
      </c>
      <c r="J39" s="75" t="s">
        <v>269</v>
      </c>
      <c r="K39" s="53">
        <v>9</v>
      </c>
      <c r="L39" s="78">
        <f t="shared" si="1"/>
        <v>18</v>
      </c>
      <c r="M39" s="79" t="s">
        <v>270</v>
      </c>
      <c r="N39" s="80" t="s">
        <v>258</v>
      </c>
      <c r="O39" s="53"/>
    </row>
    <row r="40" spans="2:15" ht="19.5" customHeight="1">
      <c r="B40" s="68">
        <v>35</v>
      </c>
      <c r="C40" s="53" t="str">
        <f t="shared" si="0"/>
        <v>#35</v>
      </c>
      <c r="D40" s="53">
        <v>35</v>
      </c>
      <c r="E40" s="77" t="s">
        <v>271</v>
      </c>
      <c r="F40" s="53" t="s">
        <v>272</v>
      </c>
      <c r="G40" s="75" t="s">
        <v>273</v>
      </c>
      <c r="H40" s="53">
        <v>9</v>
      </c>
      <c r="I40" s="53" t="s">
        <v>274</v>
      </c>
      <c r="J40" s="75" t="s">
        <v>275</v>
      </c>
      <c r="K40" s="53">
        <v>0</v>
      </c>
      <c r="L40" s="78">
        <f t="shared" si="1"/>
        <v>9</v>
      </c>
      <c r="M40" s="59" t="s">
        <v>276</v>
      </c>
      <c r="N40" s="80"/>
      <c r="O40" s="53"/>
    </row>
    <row r="41" spans="2:15" ht="19.5" customHeight="1">
      <c r="B41" s="68">
        <v>36</v>
      </c>
      <c r="C41" s="53" t="str">
        <f t="shared" si="0"/>
        <v>#39</v>
      </c>
      <c r="D41" s="53">
        <v>36</v>
      </c>
      <c r="E41" s="84" t="s">
        <v>277</v>
      </c>
      <c r="F41" s="84" t="s">
        <v>278</v>
      </c>
      <c r="G41" s="85" t="s">
        <v>279</v>
      </c>
      <c r="H41" s="84">
        <v>6</v>
      </c>
      <c r="I41" s="84" t="s">
        <v>280</v>
      </c>
      <c r="J41" s="86" t="s">
        <v>184</v>
      </c>
      <c r="K41" s="74">
        <v>0</v>
      </c>
      <c r="L41" s="76">
        <f t="shared" si="1"/>
        <v>6</v>
      </c>
      <c r="M41" s="79" t="s">
        <v>281</v>
      </c>
      <c r="N41" s="80" t="s">
        <v>282</v>
      </c>
      <c r="O41" s="53"/>
    </row>
    <row r="42" spans="2:15" ht="19.5" customHeight="1">
      <c r="B42" s="68">
        <v>37</v>
      </c>
      <c r="C42" s="69" t="str">
        <f t="shared" si="0"/>
        <v>#36</v>
      </c>
      <c r="D42" s="69">
        <v>36</v>
      </c>
      <c r="E42" s="77" t="s">
        <v>283</v>
      </c>
      <c r="F42" s="53" t="s">
        <v>284</v>
      </c>
      <c r="G42" s="77" t="s">
        <v>285</v>
      </c>
      <c r="H42" s="53">
        <v>3</v>
      </c>
      <c r="I42" s="53" t="s">
        <v>286</v>
      </c>
      <c r="J42" s="77" t="s">
        <v>287</v>
      </c>
      <c r="K42" s="69">
        <v>3</v>
      </c>
      <c r="L42" s="78">
        <f t="shared" si="1"/>
        <v>6</v>
      </c>
      <c r="M42" s="79" t="s">
        <v>288</v>
      </c>
      <c r="N42" s="80" t="s">
        <v>282</v>
      </c>
      <c r="O42" s="53"/>
    </row>
    <row r="43" spans="2:15" ht="19.5" customHeight="1">
      <c r="B43" s="68">
        <v>38</v>
      </c>
      <c r="C43" s="53" t="str">
        <f t="shared" si="0"/>
        <v>#38</v>
      </c>
      <c r="D43" s="53">
        <v>36</v>
      </c>
      <c r="E43" s="77" t="s">
        <v>289</v>
      </c>
      <c r="F43" s="53" t="s">
        <v>290</v>
      </c>
      <c r="G43" s="77" t="s">
        <v>291</v>
      </c>
      <c r="H43" s="53">
        <v>6</v>
      </c>
      <c r="I43" s="53" t="s">
        <v>292</v>
      </c>
      <c r="J43" s="82" t="s">
        <v>184</v>
      </c>
      <c r="K43" s="53">
        <v>0</v>
      </c>
      <c r="L43" s="78">
        <f t="shared" si="1"/>
        <v>6</v>
      </c>
      <c r="M43" s="79" t="s">
        <v>293</v>
      </c>
      <c r="N43" s="80" t="s">
        <v>282</v>
      </c>
      <c r="O43" s="53"/>
    </row>
    <row r="44" spans="2:15" ht="19.5" customHeight="1">
      <c r="B44" s="68">
        <v>39</v>
      </c>
      <c r="C44" s="53" t="str">
        <f t="shared" si="0"/>
        <v>#37</v>
      </c>
      <c r="D44" s="53">
        <v>36</v>
      </c>
      <c r="E44" s="75" t="s">
        <v>294</v>
      </c>
      <c r="F44" s="81" t="s">
        <v>295</v>
      </c>
      <c r="G44" s="75" t="s">
        <v>296</v>
      </c>
      <c r="H44" s="74">
        <v>3</v>
      </c>
      <c r="I44" s="81" t="s">
        <v>297</v>
      </c>
      <c r="J44" s="75" t="s">
        <v>298</v>
      </c>
      <c r="K44" s="74">
        <v>3</v>
      </c>
      <c r="L44" s="76">
        <f t="shared" si="1"/>
        <v>6</v>
      </c>
      <c r="M44" s="79" t="s">
        <v>299</v>
      </c>
      <c r="N44" s="80" t="s">
        <v>282</v>
      </c>
      <c r="O44" s="53"/>
    </row>
    <row r="45" spans="2:15" ht="19.5" customHeight="1">
      <c r="B45" s="68">
        <v>40</v>
      </c>
      <c r="C45" s="53" t="str">
        <f t="shared" si="0"/>
        <v>#47</v>
      </c>
      <c r="D45" s="53">
        <v>40</v>
      </c>
      <c r="E45" s="74" t="s">
        <v>300</v>
      </c>
      <c r="F45" s="74" t="s">
        <v>301</v>
      </c>
      <c r="G45" s="82" t="s">
        <v>184</v>
      </c>
      <c r="H45" s="74">
        <v>0</v>
      </c>
      <c r="I45" s="74" t="s">
        <v>302</v>
      </c>
      <c r="J45" s="82" t="s">
        <v>184</v>
      </c>
      <c r="K45" s="74">
        <v>0</v>
      </c>
      <c r="L45" s="76">
        <f t="shared" si="1"/>
        <v>0</v>
      </c>
      <c r="M45" s="79" t="s">
        <v>303</v>
      </c>
      <c r="N45" s="80" t="s">
        <v>304</v>
      </c>
      <c r="O45" s="53"/>
    </row>
    <row r="46" spans="2:15" ht="19.5" customHeight="1">
      <c r="B46" s="68">
        <v>41</v>
      </c>
      <c r="C46" s="53" t="str">
        <f t="shared" si="0"/>
        <v>#44</v>
      </c>
      <c r="D46" s="53">
        <v>40</v>
      </c>
      <c r="E46" s="53" t="s">
        <v>305</v>
      </c>
      <c r="F46" s="53" t="s">
        <v>306</v>
      </c>
      <c r="G46" s="77" t="s">
        <v>307</v>
      </c>
      <c r="H46" s="53">
        <v>0</v>
      </c>
      <c r="I46" s="53" t="s">
        <v>308</v>
      </c>
      <c r="J46" s="77" t="s">
        <v>309</v>
      </c>
      <c r="K46" s="53">
        <v>0</v>
      </c>
      <c r="L46" s="78">
        <f t="shared" si="1"/>
        <v>0</v>
      </c>
      <c r="M46" s="79" t="s">
        <v>310</v>
      </c>
      <c r="N46" s="80" t="s">
        <v>304</v>
      </c>
      <c r="O46" s="53"/>
    </row>
    <row r="47" spans="2:15" ht="19.5" customHeight="1">
      <c r="B47" s="68">
        <v>42</v>
      </c>
      <c r="C47" s="53" t="str">
        <f t="shared" si="0"/>
        <v>#42</v>
      </c>
      <c r="D47" s="53">
        <v>40</v>
      </c>
      <c r="E47" s="53" t="s">
        <v>311</v>
      </c>
      <c r="F47" s="53" t="s">
        <v>312</v>
      </c>
      <c r="G47" s="82" t="s">
        <v>184</v>
      </c>
      <c r="H47" s="53">
        <v>0</v>
      </c>
      <c r="I47" s="53" t="s">
        <v>313</v>
      </c>
      <c r="J47" s="82" t="s">
        <v>184</v>
      </c>
      <c r="K47" s="53">
        <v>0</v>
      </c>
      <c r="L47" s="78">
        <f t="shared" si="1"/>
        <v>0</v>
      </c>
      <c r="M47" s="79" t="s">
        <v>314</v>
      </c>
      <c r="N47" s="80" t="s">
        <v>304</v>
      </c>
      <c r="O47" s="53"/>
    </row>
    <row r="48" spans="2:15" ht="19.5" customHeight="1">
      <c r="B48" s="68">
        <v>43</v>
      </c>
      <c r="C48" s="53" t="str">
        <f t="shared" si="0"/>
        <v>#41</v>
      </c>
      <c r="D48" s="53">
        <v>40</v>
      </c>
      <c r="E48" s="74" t="s">
        <v>315</v>
      </c>
      <c r="F48" s="74" t="s">
        <v>316</v>
      </c>
      <c r="G48" s="82" t="s">
        <v>184</v>
      </c>
      <c r="H48" s="74">
        <v>0</v>
      </c>
      <c r="I48" s="74" t="s">
        <v>317</v>
      </c>
      <c r="J48" s="82" t="s">
        <v>184</v>
      </c>
      <c r="K48" s="53">
        <v>0</v>
      </c>
      <c r="L48" s="78">
        <f t="shared" si="1"/>
        <v>0</v>
      </c>
      <c r="M48" s="79" t="s">
        <v>318</v>
      </c>
      <c r="N48" s="80" t="s">
        <v>304</v>
      </c>
      <c r="O48" s="53"/>
    </row>
    <row r="49" spans="2:15" ht="19.5" customHeight="1">
      <c r="B49" s="68">
        <v>44</v>
      </c>
      <c r="C49" s="53" t="str">
        <f t="shared" si="0"/>
        <v>#50</v>
      </c>
      <c r="D49" s="53">
        <v>40</v>
      </c>
      <c r="E49" s="87" t="s">
        <v>319</v>
      </c>
      <c r="F49" s="87" t="s">
        <v>320</v>
      </c>
      <c r="G49" s="88" t="s">
        <v>184</v>
      </c>
      <c r="H49" s="89">
        <v>0</v>
      </c>
      <c r="I49" s="84" t="s">
        <v>321</v>
      </c>
      <c r="J49" s="85" t="s">
        <v>322</v>
      </c>
      <c r="K49" s="74">
        <v>0</v>
      </c>
      <c r="L49" s="76">
        <f t="shared" si="1"/>
        <v>0</v>
      </c>
      <c r="M49" s="79" t="s">
        <v>323</v>
      </c>
      <c r="N49" s="80" t="s">
        <v>304</v>
      </c>
      <c r="O49" s="53"/>
    </row>
    <row r="50" spans="2:15" ht="19.5" customHeight="1">
      <c r="B50" s="68">
        <v>45</v>
      </c>
      <c r="C50" s="90" t="str">
        <f t="shared" si="0"/>
        <v>#43</v>
      </c>
      <c r="D50" s="53">
        <v>40</v>
      </c>
      <c r="E50" s="75" t="s">
        <v>324</v>
      </c>
      <c r="F50" s="74" t="s">
        <v>325</v>
      </c>
      <c r="G50" s="82" t="s">
        <v>184</v>
      </c>
      <c r="H50" s="89">
        <v>0</v>
      </c>
      <c r="I50" s="84" t="s">
        <v>326</v>
      </c>
      <c r="J50" s="86" t="s">
        <v>184</v>
      </c>
      <c r="K50" s="74">
        <v>0</v>
      </c>
      <c r="L50" s="76">
        <f t="shared" si="1"/>
        <v>0</v>
      </c>
      <c r="M50" s="91" t="s">
        <v>327</v>
      </c>
      <c r="N50" s="80" t="s">
        <v>304</v>
      </c>
      <c r="O50" s="53"/>
    </row>
    <row r="51" spans="2:15" ht="19.5" customHeight="1">
      <c r="B51" s="68">
        <v>46</v>
      </c>
      <c r="C51" s="92" t="str">
        <f t="shared" si="0"/>
        <v>#40</v>
      </c>
      <c r="D51" s="53">
        <v>40</v>
      </c>
      <c r="E51" s="85" t="s">
        <v>328</v>
      </c>
      <c r="F51" s="84" t="s">
        <v>329</v>
      </c>
      <c r="G51" s="86" t="s">
        <v>184</v>
      </c>
      <c r="H51" s="89">
        <v>0</v>
      </c>
      <c r="I51" s="84" t="s">
        <v>330</v>
      </c>
      <c r="J51" s="86" t="s">
        <v>184</v>
      </c>
      <c r="K51" s="53">
        <v>0</v>
      </c>
      <c r="L51" s="78">
        <f t="shared" si="1"/>
        <v>0</v>
      </c>
      <c r="M51" s="91" t="s">
        <v>331</v>
      </c>
      <c r="N51" s="80" t="s">
        <v>304</v>
      </c>
      <c r="O51" s="53"/>
    </row>
    <row r="52" spans="2:15" ht="19.5" customHeight="1">
      <c r="B52" s="68">
        <v>47</v>
      </c>
      <c r="C52" s="92" t="str">
        <f t="shared" si="0"/>
        <v>#45</v>
      </c>
      <c r="D52" s="53">
        <v>40</v>
      </c>
      <c r="E52" s="75" t="s">
        <v>332</v>
      </c>
      <c r="F52" s="74" t="s">
        <v>333</v>
      </c>
      <c r="G52" s="82" t="s">
        <v>184</v>
      </c>
      <c r="H52" s="89">
        <v>0</v>
      </c>
      <c r="I52" s="74" t="s">
        <v>334</v>
      </c>
      <c r="J52" s="82" t="s">
        <v>184</v>
      </c>
      <c r="K52" s="53">
        <v>0</v>
      </c>
      <c r="L52" s="78">
        <f t="shared" si="1"/>
        <v>0</v>
      </c>
      <c r="M52" s="79" t="s">
        <v>335</v>
      </c>
      <c r="N52" s="80" t="s">
        <v>304</v>
      </c>
      <c r="O52" s="53"/>
    </row>
    <row r="53" spans="2:15" ht="19.5" customHeight="1">
      <c r="B53" s="68">
        <v>48</v>
      </c>
      <c r="C53" s="92" t="str">
        <f t="shared" si="0"/>
        <v>#48</v>
      </c>
      <c r="D53" s="53">
        <v>40</v>
      </c>
      <c r="E53" s="75" t="s">
        <v>336</v>
      </c>
      <c r="F53" s="74" t="s">
        <v>337</v>
      </c>
      <c r="G53" s="75" t="s">
        <v>338</v>
      </c>
      <c r="H53" s="89">
        <v>0</v>
      </c>
      <c r="I53" s="74" t="s">
        <v>339</v>
      </c>
      <c r="J53" s="75" t="s">
        <v>340</v>
      </c>
      <c r="K53" s="74">
        <v>0</v>
      </c>
      <c r="L53" s="76">
        <f t="shared" si="1"/>
        <v>0</v>
      </c>
      <c r="M53" s="79" t="s">
        <v>341</v>
      </c>
      <c r="N53" s="80" t="s">
        <v>304</v>
      </c>
      <c r="O53" s="53"/>
    </row>
    <row r="54" spans="2:15" ht="19.5" customHeight="1">
      <c r="B54" s="68">
        <v>49</v>
      </c>
      <c r="C54" s="92" t="str">
        <f t="shared" si="0"/>
        <v>#52</v>
      </c>
      <c r="D54" s="53">
        <v>40</v>
      </c>
      <c r="E54" s="77" t="s">
        <v>342</v>
      </c>
      <c r="F54" s="53" t="s">
        <v>343</v>
      </c>
      <c r="G54" s="82" t="s">
        <v>184</v>
      </c>
      <c r="H54" s="37">
        <v>0</v>
      </c>
      <c r="I54" s="53" t="s">
        <v>1166</v>
      </c>
      <c r="J54" s="75" t="s">
        <v>344</v>
      </c>
      <c r="K54" s="53">
        <v>0</v>
      </c>
      <c r="L54" s="78">
        <f t="shared" si="1"/>
        <v>0</v>
      </c>
      <c r="M54" s="79" t="s">
        <v>345</v>
      </c>
      <c r="N54" s="80" t="s">
        <v>304</v>
      </c>
      <c r="O54" s="53"/>
    </row>
    <row r="55" spans="2:15" ht="20.25">
      <c r="B55" s="68">
        <v>50</v>
      </c>
      <c r="C55" s="92" t="str">
        <f t="shared" si="0"/>
        <v>#46</v>
      </c>
      <c r="D55" s="53">
        <v>40</v>
      </c>
      <c r="E55" s="77" t="s">
        <v>346</v>
      </c>
      <c r="F55" s="53" t="s">
        <v>347</v>
      </c>
      <c r="G55" s="82" t="s">
        <v>184</v>
      </c>
      <c r="H55" s="37">
        <v>0</v>
      </c>
      <c r="I55" s="53" t="s">
        <v>348</v>
      </c>
      <c r="J55" s="75" t="s">
        <v>349</v>
      </c>
      <c r="K55" s="53">
        <v>0</v>
      </c>
      <c r="L55" s="78">
        <f t="shared" si="1"/>
        <v>0</v>
      </c>
      <c r="M55" s="79" t="s">
        <v>350</v>
      </c>
      <c r="N55" s="80" t="s">
        <v>304</v>
      </c>
      <c r="O55" s="30"/>
    </row>
    <row r="56" spans="2:15" ht="20.25">
      <c r="B56" s="68">
        <v>51</v>
      </c>
      <c r="C56" s="92" t="str">
        <f t="shared" si="0"/>
        <v>#49</v>
      </c>
      <c r="D56" s="53">
        <v>40</v>
      </c>
      <c r="E56" s="77" t="s">
        <v>351</v>
      </c>
      <c r="F56" s="53" t="s">
        <v>352</v>
      </c>
      <c r="G56" s="77" t="s">
        <v>353</v>
      </c>
      <c r="H56" s="37">
        <v>0</v>
      </c>
      <c r="I56" s="53" t="s">
        <v>354</v>
      </c>
      <c r="J56" s="82" t="s">
        <v>184</v>
      </c>
      <c r="K56" s="53">
        <v>0</v>
      </c>
      <c r="L56" s="78">
        <f t="shared" si="1"/>
        <v>0</v>
      </c>
      <c r="M56" s="79" t="s">
        <v>355</v>
      </c>
      <c r="N56" s="80" t="s">
        <v>304</v>
      </c>
      <c r="O56" s="30"/>
    </row>
    <row r="57" spans="2:15" ht="20.25">
      <c r="B57" s="68">
        <v>52</v>
      </c>
      <c r="C57" s="92" t="str">
        <f t="shared" si="0"/>
        <v>#51</v>
      </c>
      <c r="D57" s="53">
        <v>40</v>
      </c>
      <c r="E57" s="53" t="s">
        <v>356</v>
      </c>
      <c r="F57" s="53" t="s">
        <v>357</v>
      </c>
      <c r="G57" s="82" t="s">
        <v>184</v>
      </c>
      <c r="H57" s="37">
        <v>0</v>
      </c>
      <c r="I57" s="53" t="s">
        <v>358</v>
      </c>
      <c r="J57" s="82" t="s">
        <v>184</v>
      </c>
      <c r="K57" s="53">
        <v>0</v>
      </c>
      <c r="L57" s="78">
        <f t="shared" si="1"/>
        <v>0</v>
      </c>
      <c r="M57" s="91" t="s">
        <v>359</v>
      </c>
      <c r="N57" s="80" t="s">
        <v>304</v>
      </c>
      <c r="O57" s="30"/>
    </row>
    <row r="58" spans="2:15" ht="20.25">
      <c r="B58" s="93">
        <v>53</v>
      </c>
      <c r="C58" s="92" t="str">
        <f t="shared" si="0"/>
        <v>#53</v>
      </c>
      <c r="D58" s="53">
        <v>40</v>
      </c>
      <c r="E58" s="74" t="s">
        <v>360</v>
      </c>
      <c r="F58" s="53" t="s">
        <v>361</v>
      </c>
      <c r="G58" s="77" t="s">
        <v>362</v>
      </c>
      <c r="H58" s="53">
        <v>0</v>
      </c>
      <c r="I58" s="53" t="s">
        <v>363</v>
      </c>
      <c r="J58" s="77" t="s">
        <v>364</v>
      </c>
      <c r="K58" s="53">
        <v>0</v>
      </c>
      <c r="L58" s="78">
        <f t="shared" si="1"/>
        <v>0</v>
      </c>
      <c r="M58" s="94" t="s">
        <v>365</v>
      </c>
      <c r="N58" s="80" t="s">
        <v>304</v>
      </c>
      <c r="O58" s="30"/>
    </row>
    <row r="59" ht="22.5">
      <c r="B59" s="95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zoomScale="60" zoomScaleNormal="60" zoomScalePageLayoutView="0" workbookViewId="0" topLeftCell="A11">
      <selection activeCell="D49" sqref="D49"/>
    </sheetView>
  </sheetViews>
  <sheetFormatPr defaultColWidth="7.69921875" defaultRowHeight="15"/>
  <cols>
    <col min="1" max="9" width="15.796875" style="96" customWidth="1"/>
    <col min="10" max="10" width="10.69921875" style="96" customWidth="1"/>
    <col min="11" max="16384" width="7.69921875" style="96" customWidth="1"/>
  </cols>
  <sheetData>
    <row r="1" spans="2:5" ht="17.25">
      <c r="B1" s="97" t="s">
        <v>366</v>
      </c>
      <c r="C1" s="98"/>
      <c r="D1" s="98"/>
      <c r="E1" s="99"/>
    </row>
    <row r="2" spans="2:5" ht="17.25">
      <c r="B2" s="97"/>
      <c r="C2" s="98"/>
      <c r="D2" s="98"/>
      <c r="E2" s="99"/>
    </row>
    <row r="3" spans="2:5" ht="17.25">
      <c r="B3" s="97" t="s">
        <v>367</v>
      </c>
      <c r="C3" s="98"/>
      <c r="D3" s="98"/>
      <c r="E3" s="99"/>
    </row>
    <row r="4" spans="2:5" ht="17.25">
      <c r="B4" s="97" t="s">
        <v>368</v>
      </c>
      <c r="C4" s="98"/>
      <c r="D4" s="98"/>
      <c r="E4" s="99"/>
    </row>
    <row r="5" spans="2:5" ht="17.25">
      <c r="B5" s="97" t="s">
        <v>369</v>
      </c>
      <c r="C5" s="98"/>
      <c r="D5" s="98"/>
      <c r="E5" s="99"/>
    </row>
    <row r="6" spans="2:5" ht="17.25">
      <c r="B6" s="100" t="s">
        <v>370</v>
      </c>
      <c r="C6" s="100" t="s">
        <v>69</v>
      </c>
      <c r="D6" s="101"/>
      <c r="E6" s="99"/>
    </row>
    <row r="7" spans="2:5" ht="17.25">
      <c r="B7" s="100" t="s">
        <v>371</v>
      </c>
      <c r="C7" s="100" t="s">
        <v>75</v>
      </c>
      <c r="D7" s="101"/>
      <c r="E7" s="99"/>
    </row>
    <row r="8" spans="2:5" ht="17.25">
      <c r="B8" s="100" t="s">
        <v>372</v>
      </c>
      <c r="C8" s="100" t="s">
        <v>81</v>
      </c>
      <c r="D8" s="101"/>
      <c r="E8" s="99"/>
    </row>
    <row r="9" spans="2:5" ht="17.25">
      <c r="B9" s="100" t="s">
        <v>373</v>
      </c>
      <c r="C9" s="100" t="s">
        <v>87</v>
      </c>
      <c r="D9" s="101"/>
      <c r="E9" s="99"/>
    </row>
    <row r="10" spans="2:5" ht="17.25">
      <c r="B10" s="100" t="s">
        <v>374</v>
      </c>
      <c r="C10" s="100" t="s">
        <v>93</v>
      </c>
      <c r="D10" s="101"/>
      <c r="E10" s="99"/>
    </row>
    <row r="11" spans="2:5" ht="17.25">
      <c r="B11" s="100" t="s">
        <v>375</v>
      </c>
      <c r="C11" s="100" t="s">
        <v>99</v>
      </c>
      <c r="D11" s="101"/>
      <c r="E11" s="99"/>
    </row>
    <row r="12" spans="2:5" ht="17.25">
      <c r="B12" s="100" t="s">
        <v>376</v>
      </c>
      <c r="C12" s="100" t="s">
        <v>105</v>
      </c>
      <c r="D12" s="101"/>
      <c r="E12" s="99"/>
    </row>
    <row r="13" spans="2:5" ht="17.25">
      <c r="B13" s="100" t="s">
        <v>377</v>
      </c>
      <c r="C13" s="100" t="s">
        <v>111</v>
      </c>
      <c r="D13" s="101"/>
      <c r="E13" s="99"/>
    </row>
    <row r="14" spans="2:5" ht="17.25">
      <c r="B14" s="102" t="s">
        <v>378</v>
      </c>
      <c r="C14" s="99"/>
      <c r="D14" s="99"/>
      <c r="E14" s="99"/>
    </row>
    <row r="15" spans="2:5" ht="17.25">
      <c r="B15" s="102" t="s">
        <v>379</v>
      </c>
      <c r="C15" s="99"/>
      <c r="D15" s="99"/>
      <c r="E15" s="99"/>
    </row>
    <row r="16" spans="2:5" ht="17.25">
      <c r="B16" s="97"/>
      <c r="C16" s="99"/>
      <c r="D16" s="99"/>
      <c r="E16" s="99"/>
    </row>
    <row r="17" spans="2:5" ht="17.25">
      <c r="B17" s="97" t="s">
        <v>380</v>
      </c>
      <c r="C17" s="99"/>
      <c r="D17" s="99"/>
      <c r="E17" s="99"/>
    </row>
    <row r="18" ht="17.25">
      <c r="B18" s="103"/>
    </row>
    <row r="19" spans="2:3" ht="17.25">
      <c r="B19" s="103"/>
      <c r="C19" s="104"/>
    </row>
    <row r="20" spans="2:7" ht="17.25">
      <c r="B20" s="105" t="s">
        <v>64</v>
      </c>
      <c r="C20" s="106" t="s">
        <v>117</v>
      </c>
      <c r="D20" s="107"/>
      <c r="E20" s="108"/>
      <c r="F20" s="107"/>
      <c r="G20" s="107"/>
    </row>
    <row r="21" spans="3:6" ht="18">
      <c r="C21" s="109" t="s">
        <v>381</v>
      </c>
      <c r="D21" s="104"/>
      <c r="E21" s="110"/>
      <c r="F21" s="107"/>
    </row>
    <row r="22" spans="3:7" ht="17.25">
      <c r="C22" s="111" t="s">
        <v>382</v>
      </c>
      <c r="D22" s="112"/>
      <c r="E22" s="113" t="str">
        <f>B20</f>
        <v>2R</v>
      </c>
      <c r="F22" s="107"/>
      <c r="G22" s="107"/>
    </row>
    <row r="23" spans="2:7" ht="18">
      <c r="B23" s="105" t="s">
        <v>88</v>
      </c>
      <c r="C23" s="114" t="s">
        <v>383</v>
      </c>
      <c r="D23" s="115"/>
      <c r="E23" s="116"/>
      <c r="F23" s="110"/>
      <c r="G23" s="110"/>
    </row>
    <row r="24" spans="3:7" ht="17.25">
      <c r="C24" s="108"/>
      <c r="D24" s="117" t="s">
        <v>384</v>
      </c>
      <c r="E24" s="109"/>
      <c r="F24" s="118"/>
      <c r="G24" s="119" t="str">
        <f>E27</f>
        <v>仁濟</v>
      </c>
    </row>
    <row r="25" spans="3:7" ht="18">
      <c r="C25" s="120"/>
      <c r="D25" s="121" t="s">
        <v>385</v>
      </c>
      <c r="E25" s="122" t="s">
        <v>386</v>
      </c>
      <c r="G25" s="110"/>
    </row>
    <row r="26" spans="2:7" ht="18">
      <c r="B26" s="123" t="s">
        <v>106</v>
      </c>
      <c r="C26" s="106" t="s">
        <v>209</v>
      </c>
      <c r="D26" s="115"/>
      <c r="E26" s="116"/>
      <c r="F26" s="107"/>
      <c r="G26" s="107"/>
    </row>
    <row r="27" spans="3:5" ht="17.25">
      <c r="C27" s="109" t="s">
        <v>387</v>
      </c>
      <c r="D27" s="118"/>
      <c r="E27" s="113" t="str">
        <f>B26</f>
        <v>仁濟</v>
      </c>
    </row>
    <row r="28" spans="3:7" ht="18">
      <c r="C28" s="111" t="s">
        <v>388</v>
      </c>
      <c r="D28" s="115"/>
      <c r="E28" s="124"/>
      <c r="F28" s="110"/>
      <c r="G28" s="107"/>
    </row>
    <row r="29" spans="2:7" ht="18">
      <c r="B29" s="105" t="s">
        <v>389</v>
      </c>
      <c r="C29" s="114" t="s">
        <v>215</v>
      </c>
      <c r="E29" s="107"/>
      <c r="F29" s="108"/>
      <c r="G29" s="107"/>
    </row>
    <row r="30" spans="2:7" ht="18">
      <c r="B30" s="125"/>
      <c r="C30" s="126"/>
      <c r="E30" s="107"/>
      <c r="F30" s="108"/>
      <c r="G30" s="107"/>
    </row>
    <row r="31" spans="3:6" ht="17.25">
      <c r="C31" s="127"/>
      <c r="D31" s="107"/>
      <c r="E31" s="120"/>
      <c r="F31" s="107"/>
    </row>
    <row r="32" spans="4:5" ht="17.25">
      <c r="D32" s="113" t="str">
        <f>B23</f>
        <v>ALPS - TANGWO</v>
      </c>
      <c r="E32" s="128"/>
    </row>
    <row r="33" ht="17.25">
      <c r="E33" s="128"/>
    </row>
    <row r="34" spans="4:7" ht="18">
      <c r="D34" s="129" t="s">
        <v>390</v>
      </c>
      <c r="E34" s="109"/>
      <c r="F34" s="130"/>
      <c r="G34" s="119" t="str">
        <f>D32</f>
        <v>ALPS - TANGWO</v>
      </c>
    </row>
    <row r="35" spans="4:6" ht="17.25">
      <c r="D35" s="131" t="s">
        <v>391</v>
      </c>
      <c r="E35" s="132" t="s">
        <v>392</v>
      </c>
      <c r="F35" s="112"/>
    </row>
    <row r="36" spans="4:5" ht="17.25">
      <c r="D36" s="133"/>
      <c r="E36" s="134"/>
    </row>
    <row r="37" spans="4:5" ht="17.25">
      <c r="D37" s="113" t="str">
        <f>B29</f>
        <v>SCAA - 文龍</v>
      </c>
      <c r="E37" s="135"/>
    </row>
    <row r="38" ht="18">
      <c r="E38" s="136"/>
    </row>
    <row r="40" spans="2:4" ht="17.25">
      <c r="B40" s="137" t="s">
        <v>393</v>
      </c>
      <c r="C40" s="138" t="s">
        <v>394</v>
      </c>
      <c r="D40" s="96" t="s">
        <v>106</v>
      </c>
    </row>
    <row r="41" spans="2:4" ht="17.25">
      <c r="B41" s="137" t="s">
        <v>395</v>
      </c>
      <c r="C41" s="138" t="s">
        <v>396</v>
      </c>
      <c r="D41" s="96" t="s">
        <v>64</v>
      </c>
    </row>
    <row r="42" spans="2:4" ht="17.25">
      <c r="B42" s="137" t="s">
        <v>397</v>
      </c>
      <c r="C42" s="138" t="s">
        <v>398</v>
      </c>
      <c r="D42" s="96" t="s">
        <v>88</v>
      </c>
    </row>
    <row r="43" spans="2:4" ht="17.25">
      <c r="B43" s="137" t="s">
        <v>399</v>
      </c>
      <c r="C43" s="138" t="s">
        <v>400</v>
      </c>
      <c r="D43" s="96" t="s">
        <v>401</v>
      </c>
    </row>
    <row r="44" spans="2:4" ht="17.25">
      <c r="B44" s="137" t="s">
        <v>402</v>
      </c>
      <c r="C44" s="138" t="s">
        <v>403</v>
      </c>
      <c r="D44" s="96" t="s">
        <v>404</v>
      </c>
    </row>
    <row r="45" spans="2:4" ht="17.25">
      <c r="B45" s="137" t="s">
        <v>405</v>
      </c>
      <c r="C45" s="138" t="s">
        <v>406</v>
      </c>
      <c r="D45" s="96" t="s">
        <v>70</v>
      </c>
    </row>
    <row r="46" spans="2:4" ht="17.25">
      <c r="B46" s="137" t="s">
        <v>407</v>
      </c>
      <c r="C46" s="138" t="s">
        <v>408</v>
      </c>
      <c r="D46" s="96" t="s">
        <v>94</v>
      </c>
    </row>
    <row r="47" spans="2:4" ht="17.25">
      <c r="B47" s="137" t="s">
        <v>409</v>
      </c>
      <c r="C47" s="138" t="s">
        <v>410</v>
      </c>
      <c r="D47" s="96" t="s">
        <v>82</v>
      </c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="60" zoomScaleNormal="60" zoomScalePageLayoutView="0" workbookViewId="0" topLeftCell="B1">
      <selection activeCell="V30" sqref="V30"/>
    </sheetView>
  </sheetViews>
  <sheetFormatPr defaultColWidth="7.69921875" defaultRowHeight="15"/>
  <cols>
    <col min="1" max="2" width="5.796875" style="139" customWidth="1"/>
    <col min="3" max="4" width="9.796875" style="139" customWidth="1"/>
    <col min="5" max="7" width="5.796875" style="139" customWidth="1"/>
    <col min="8" max="8" width="25.796875" style="139" customWidth="1"/>
    <col min="9" max="9" width="2.796875" style="139" customWidth="1"/>
    <col min="10" max="10" width="25.796875" style="139" customWidth="1"/>
    <col min="11" max="14" width="9.796875" style="140" customWidth="1"/>
    <col min="15" max="15" width="15.796875" style="139" customWidth="1"/>
    <col min="16" max="16" width="5.796875" style="139" customWidth="1"/>
    <col min="17" max="17" width="8.796875" style="139" customWidth="1"/>
    <col min="18" max="18" width="18.3984375" style="139" customWidth="1"/>
    <col min="19" max="21" width="5.796875" style="139" customWidth="1"/>
    <col min="22" max="22" width="11.8984375" style="139" customWidth="1"/>
    <col min="23" max="23" width="11.19921875" style="139" customWidth="1"/>
    <col min="24" max="24" width="8.3984375" style="139" customWidth="1"/>
    <col min="25" max="25" width="7.296875" style="139" customWidth="1"/>
    <col min="26" max="26" width="7.69921875" style="139" customWidth="1"/>
    <col min="27" max="27" width="7.69921875" style="139" hidden="1" customWidth="1"/>
    <col min="28" max="28" width="18.3984375" style="139" hidden="1" customWidth="1"/>
    <col min="29" max="35" width="7.69921875" style="139" hidden="1" customWidth="1"/>
    <col min="36" max="16384" width="7.69921875" style="139" customWidth="1"/>
  </cols>
  <sheetData>
    <row r="1" spans="2:8" ht="24">
      <c r="B1" s="141" t="s">
        <v>411</v>
      </c>
      <c r="C1" s="142"/>
      <c r="D1" s="142"/>
      <c r="E1" s="143"/>
      <c r="G1" s="140"/>
      <c r="H1" s="144"/>
    </row>
    <row r="2" spans="2:8" ht="25.5">
      <c r="B2" s="145" t="s">
        <v>412</v>
      </c>
      <c r="C2" s="146"/>
      <c r="D2" s="142"/>
      <c r="E2" s="143"/>
      <c r="G2" s="140"/>
      <c r="H2" s="144"/>
    </row>
    <row r="3" spans="5:14" ht="21">
      <c r="E3" s="140"/>
      <c r="F3" s="140"/>
      <c r="G3" s="147"/>
      <c r="H3" s="616" t="s">
        <v>413</v>
      </c>
      <c r="I3" s="616"/>
      <c r="J3" s="616"/>
      <c r="K3" s="149" t="s">
        <v>414</v>
      </c>
      <c r="L3" s="148" t="s">
        <v>415</v>
      </c>
      <c r="M3" s="148" t="s">
        <v>415</v>
      </c>
      <c r="N3" s="148" t="s">
        <v>414</v>
      </c>
    </row>
    <row r="4" spans="1:14" ht="20.25">
      <c r="A4" s="150"/>
      <c r="B4" s="151"/>
      <c r="C4" s="152" t="s">
        <v>416</v>
      </c>
      <c r="D4" s="153" t="s">
        <v>417</v>
      </c>
      <c r="E4" s="154"/>
      <c r="F4" s="155" t="s">
        <v>418</v>
      </c>
      <c r="G4" s="148"/>
      <c r="H4" s="156" t="s">
        <v>419</v>
      </c>
      <c r="I4" s="157"/>
      <c r="J4" s="156" t="s">
        <v>420</v>
      </c>
      <c r="K4" s="158"/>
      <c r="L4" s="158"/>
      <c r="M4" s="158"/>
      <c r="N4" s="158"/>
    </row>
    <row r="5" spans="1:14" ht="16.5" customHeight="1">
      <c r="A5" s="150"/>
      <c r="B5" s="159"/>
      <c r="C5" s="160" t="s">
        <v>421</v>
      </c>
      <c r="D5" s="161" t="s">
        <v>422</v>
      </c>
      <c r="E5" s="154"/>
      <c r="F5" s="162" t="s">
        <v>413</v>
      </c>
      <c r="G5" s="160"/>
      <c r="H5" s="163" t="s">
        <v>51</v>
      </c>
      <c r="I5" s="164"/>
      <c r="J5" s="163" t="s">
        <v>51</v>
      </c>
      <c r="K5" s="165"/>
      <c r="L5" s="165"/>
      <c r="M5" s="165"/>
      <c r="N5" s="158"/>
    </row>
    <row r="6" spans="2:35" ht="20.25">
      <c r="B6" s="166">
        <v>1</v>
      </c>
      <c r="C6" s="167" t="s">
        <v>423</v>
      </c>
      <c r="D6" s="168">
        <v>1</v>
      </c>
      <c r="E6" s="163" t="s">
        <v>69</v>
      </c>
      <c r="F6" s="169" t="s">
        <v>424</v>
      </c>
      <c r="G6" s="170" t="s">
        <v>111</v>
      </c>
      <c r="H6" s="158" t="str">
        <f>VLOOKUP(E6,MD!$C$6:$K$58,3,FALSE)</f>
        <v>2R</v>
      </c>
      <c r="I6" s="171" t="s">
        <v>424</v>
      </c>
      <c r="J6" s="158" t="str">
        <f>VLOOKUP(G6,MD!$C$6:$K$58,3,FALSE)</f>
        <v>仁濟</v>
      </c>
      <c r="K6" s="158">
        <v>1</v>
      </c>
      <c r="L6" s="158">
        <f>20+21</f>
        <v>41</v>
      </c>
      <c r="M6" s="158">
        <f>22+18</f>
        <v>40</v>
      </c>
      <c r="N6" s="172">
        <v>1</v>
      </c>
      <c r="O6" s="173" t="s">
        <v>425</v>
      </c>
      <c r="Q6" s="174" t="s">
        <v>426</v>
      </c>
      <c r="R6" s="174" t="s">
        <v>50</v>
      </c>
      <c r="S6" s="174" t="s">
        <v>427</v>
      </c>
      <c r="T6" s="174" t="s">
        <v>428</v>
      </c>
      <c r="U6" s="174" t="s">
        <v>429</v>
      </c>
      <c r="V6" s="174" t="s">
        <v>430</v>
      </c>
      <c r="W6" s="174" t="s">
        <v>431</v>
      </c>
      <c r="X6" s="174" t="s">
        <v>432</v>
      </c>
      <c r="Y6" s="174" t="s">
        <v>61</v>
      </c>
      <c r="AA6" s="174" t="s">
        <v>426</v>
      </c>
      <c r="AB6" s="174" t="s">
        <v>50</v>
      </c>
      <c r="AC6" s="174" t="s">
        <v>427</v>
      </c>
      <c r="AD6" s="174" t="s">
        <v>428</v>
      </c>
      <c r="AE6" s="174" t="s">
        <v>429</v>
      </c>
      <c r="AF6" s="174" t="s">
        <v>430</v>
      </c>
      <c r="AG6" s="174" t="s">
        <v>431</v>
      </c>
      <c r="AH6" s="174" t="s">
        <v>432</v>
      </c>
      <c r="AI6" s="174" t="s">
        <v>61</v>
      </c>
    </row>
    <row r="7" spans="2:35" ht="20.25">
      <c r="B7" s="175">
        <v>2</v>
      </c>
      <c r="C7" s="167" t="s">
        <v>423</v>
      </c>
      <c r="D7" s="168">
        <v>2</v>
      </c>
      <c r="E7" s="163" t="s">
        <v>75</v>
      </c>
      <c r="F7" s="169" t="s">
        <v>424</v>
      </c>
      <c r="G7" s="170" t="s">
        <v>105</v>
      </c>
      <c r="H7" s="158" t="str">
        <f>VLOOKUP(E7,MD!$C$6:$K$58,3,FALSE)</f>
        <v>ALPS LC</v>
      </c>
      <c r="I7" s="171" t="s">
        <v>424</v>
      </c>
      <c r="J7" s="158" t="str">
        <f>VLOOKUP(G7,MD!$C$6:$K$58,3,FALSE)</f>
        <v>SCAA - 文龍</v>
      </c>
      <c r="K7" s="158">
        <v>0</v>
      </c>
      <c r="L7" s="158">
        <f>19+17</f>
        <v>36</v>
      </c>
      <c r="M7" s="158">
        <f>21+21</f>
        <v>42</v>
      </c>
      <c r="N7" s="172">
        <v>2</v>
      </c>
      <c r="O7" s="173" t="s">
        <v>433</v>
      </c>
      <c r="Q7" s="176">
        <v>1</v>
      </c>
      <c r="R7" s="158" t="s">
        <v>64</v>
      </c>
      <c r="S7" s="176">
        <v>4</v>
      </c>
      <c r="T7" s="176">
        <v>3</v>
      </c>
      <c r="U7" s="176">
        <v>0</v>
      </c>
      <c r="V7" s="176">
        <v>252</v>
      </c>
      <c r="W7" s="176">
        <v>205</v>
      </c>
      <c r="X7" s="177">
        <v>1.2292682926829268</v>
      </c>
      <c r="Y7" s="176">
        <v>15</v>
      </c>
      <c r="AA7" s="176">
        <v>1</v>
      </c>
      <c r="AB7" s="178" t="s">
        <v>64</v>
      </c>
      <c r="AC7" s="176">
        <v>4</v>
      </c>
      <c r="AD7" s="176">
        <v>3</v>
      </c>
      <c r="AE7" s="176">
        <v>0</v>
      </c>
      <c r="AF7" s="176">
        <f>L6+L11+L16+L19+L22+L29+L33</f>
        <v>252</v>
      </c>
      <c r="AG7" s="176">
        <f>M6+M11+M16+M19+M22+M29+M33</f>
        <v>205</v>
      </c>
      <c r="AH7" s="177">
        <f aca="true" t="shared" si="0" ref="AH7:AH14">AF7/AG7</f>
        <v>1.2292682926829268</v>
      </c>
      <c r="AI7" s="176">
        <f aca="true" t="shared" si="1" ref="AI7:AI14">AC7*3+AD7*1+AE7*0</f>
        <v>15</v>
      </c>
    </row>
    <row r="8" spans="2:35" ht="20.25">
      <c r="B8" s="166">
        <v>3</v>
      </c>
      <c r="C8" s="167" t="s">
        <v>423</v>
      </c>
      <c r="D8" s="168">
        <v>3</v>
      </c>
      <c r="E8" s="163" t="s">
        <v>81</v>
      </c>
      <c r="F8" s="169" t="s">
        <v>424</v>
      </c>
      <c r="G8" s="170" t="s">
        <v>99</v>
      </c>
      <c r="H8" s="158" t="str">
        <f>VLOOKUP(E8,MD!$C$6:$K$58,3,FALSE)</f>
        <v>ALPS-米肥落去</v>
      </c>
      <c r="I8" s="171" t="s">
        <v>424</v>
      </c>
      <c r="J8" s="158" t="str">
        <f>VLOOKUP(G8,MD!$C$6:$K$58,3,FALSE)</f>
        <v>SCAA LL</v>
      </c>
      <c r="K8" s="158">
        <v>1</v>
      </c>
      <c r="L8" s="158">
        <f>17+21</f>
        <v>38</v>
      </c>
      <c r="M8" s="158">
        <f>21+17</f>
        <v>38</v>
      </c>
      <c r="N8" s="172">
        <v>1</v>
      </c>
      <c r="O8" s="173" t="s">
        <v>434</v>
      </c>
      <c r="Q8" s="176">
        <v>2</v>
      </c>
      <c r="R8" s="74" t="s">
        <v>106</v>
      </c>
      <c r="S8" s="176">
        <v>4</v>
      </c>
      <c r="T8" s="176">
        <v>3</v>
      </c>
      <c r="U8" s="176">
        <v>0</v>
      </c>
      <c r="V8" s="176">
        <v>252</v>
      </c>
      <c r="W8" s="176">
        <v>221</v>
      </c>
      <c r="X8" s="177">
        <v>1.1402714932126696</v>
      </c>
      <c r="Y8" s="176">
        <v>15</v>
      </c>
      <c r="AA8" s="176">
        <v>2</v>
      </c>
      <c r="AB8" s="75" t="s">
        <v>70</v>
      </c>
      <c r="AC8" s="176">
        <v>1</v>
      </c>
      <c r="AD8" s="176">
        <v>2</v>
      </c>
      <c r="AE8" s="176">
        <v>4</v>
      </c>
      <c r="AF8" s="176">
        <f>L7+L10+L17+L20+L23+L26+M33</f>
        <v>204</v>
      </c>
      <c r="AG8" s="176">
        <f>M7+M10+M17+M20+M23+M26+L33</f>
        <v>238</v>
      </c>
      <c r="AH8" s="177">
        <f t="shared" si="0"/>
        <v>0.8571428571428571</v>
      </c>
      <c r="AI8" s="176">
        <f t="shared" si="1"/>
        <v>5</v>
      </c>
    </row>
    <row r="9" spans="2:35" ht="20.25">
      <c r="B9" s="175">
        <v>4</v>
      </c>
      <c r="C9" s="167" t="s">
        <v>423</v>
      </c>
      <c r="D9" s="168">
        <v>4</v>
      </c>
      <c r="E9" s="179" t="s">
        <v>87</v>
      </c>
      <c r="F9" s="180" t="s">
        <v>424</v>
      </c>
      <c r="G9" s="181" t="s">
        <v>93</v>
      </c>
      <c r="H9" s="158" t="str">
        <f>VLOOKUP(E9,MD!$C$6:$K$58,3,FALSE)</f>
        <v>ALPS-KUZ</v>
      </c>
      <c r="I9" s="171" t="s">
        <v>424</v>
      </c>
      <c r="J9" s="158" t="str">
        <f>VLOOKUP(G9,MD!$C$6:$K$58,3,FALSE)</f>
        <v>ALPS - TANGWO</v>
      </c>
      <c r="K9" s="165">
        <v>0</v>
      </c>
      <c r="L9" s="165">
        <f>9+11</f>
        <v>20</v>
      </c>
      <c r="M9" s="165">
        <f>21+21</f>
        <v>42</v>
      </c>
      <c r="N9" s="165">
        <v>2</v>
      </c>
      <c r="O9" s="173" t="s">
        <v>435</v>
      </c>
      <c r="Q9" s="176">
        <v>3</v>
      </c>
      <c r="R9" s="171" t="s">
        <v>100</v>
      </c>
      <c r="S9" s="176">
        <v>3</v>
      </c>
      <c r="T9" s="176">
        <v>4</v>
      </c>
      <c r="U9" s="176">
        <v>0</v>
      </c>
      <c r="V9" s="176">
        <v>245</v>
      </c>
      <c r="W9" s="176">
        <v>223</v>
      </c>
      <c r="X9" s="177">
        <v>1.0986547085201794</v>
      </c>
      <c r="Y9" s="176">
        <v>13</v>
      </c>
      <c r="AA9" s="176">
        <v>3</v>
      </c>
      <c r="AB9" s="75" t="s">
        <v>76</v>
      </c>
      <c r="AC9" s="176">
        <v>2</v>
      </c>
      <c r="AD9" s="176">
        <v>1</v>
      </c>
      <c r="AE9" s="176">
        <v>4</v>
      </c>
      <c r="AF9" s="176">
        <f>L8+L12+L14+L21+M23+M29+L32</f>
        <v>197</v>
      </c>
      <c r="AG9" s="176">
        <f>M8+M12+M14+M21+L23+L29+M32</f>
        <v>233</v>
      </c>
      <c r="AH9" s="177">
        <f t="shared" si="0"/>
        <v>0.8454935622317596</v>
      </c>
      <c r="AI9" s="176">
        <f t="shared" si="1"/>
        <v>7</v>
      </c>
    </row>
    <row r="10" spans="2:35" ht="20.25">
      <c r="B10" s="166">
        <v>5</v>
      </c>
      <c r="C10" s="167" t="s">
        <v>423</v>
      </c>
      <c r="D10" s="168">
        <v>5</v>
      </c>
      <c r="E10" s="163" t="s">
        <v>75</v>
      </c>
      <c r="F10" s="169" t="s">
        <v>424</v>
      </c>
      <c r="G10" s="170" t="s">
        <v>111</v>
      </c>
      <c r="H10" s="158" t="str">
        <f>VLOOKUP(E10,MD!$C$6:$K$58,3,FALSE)</f>
        <v>ALPS LC</v>
      </c>
      <c r="I10" s="171" t="s">
        <v>424</v>
      </c>
      <c r="J10" s="158" t="str">
        <f>VLOOKUP(G10,MD!$C$6:$K$58,3,FALSE)</f>
        <v>仁濟</v>
      </c>
      <c r="K10" s="158">
        <v>0</v>
      </c>
      <c r="L10" s="158">
        <f>15+17</f>
        <v>32</v>
      </c>
      <c r="M10" s="158">
        <f>21+21</f>
        <v>42</v>
      </c>
      <c r="N10" s="158">
        <v>2</v>
      </c>
      <c r="O10" s="173" t="s">
        <v>436</v>
      </c>
      <c r="Q10" s="176">
        <v>4</v>
      </c>
      <c r="R10" s="171" t="s">
        <v>88</v>
      </c>
      <c r="S10" s="176">
        <v>3</v>
      </c>
      <c r="T10" s="176">
        <v>4</v>
      </c>
      <c r="U10" s="176">
        <v>0</v>
      </c>
      <c r="V10" s="176">
        <v>267</v>
      </c>
      <c r="W10" s="176">
        <v>241</v>
      </c>
      <c r="X10" s="177">
        <v>1.107883817427386</v>
      </c>
      <c r="Y10" s="176">
        <v>13</v>
      </c>
      <c r="AA10" s="176">
        <v>4</v>
      </c>
      <c r="AB10" s="75" t="s">
        <v>88</v>
      </c>
      <c r="AC10" s="176">
        <v>3</v>
      </c>
      <c r="AD10" s="176">
        <v>4</v>
      </c>
      <c r="AE10" s="176">
        <v>0</v>
      </c>
      <c r="AF10" s="176">
        <f>M9+M12+M17+M19+L24+L27+L31</f>
        <v>267</v>
      </c>
      <c r="AG10" s="176">
        <f>L9+L12+L17+L19+M24+M27+M31</f>
        <v>241</v>
      </c>
      <c r="AH10" s="177">
        <f t="shared" si="0"/>
        <v>1.107883817427386</v>
      </c>
      <c r="AI10" s="176">
        <f t="shared" si="1"/>
        <v>13</v>
      </c>
    </row>
    <row r="11" spans="2:35" ht="20.25">
      <c r="B11" s="175">
        <v>6</v>
      </c>
      <c r="C11" s="167" t="s">
        <v>423</v>
      </c>
      <c r="D11" s="168">
        <v>6</v>
      </c>
      <c r="E11" s="163" t="s">
        <v>69</v>
      </c>
      <c r="F11" s="169" t="s">
        <v>424</v>
      </c>
      <c r="G11" s="170" t="s">
        <v>105</v>
      </c>
      <c r="H11" s="158" t="str">
        <f>VLOOKUP(E11,MD!$C$6:$K$58,3,FALSE)</f>
        <v>2R</v>
      </c>
      <c r="I11" s="171" t="s">
        <v>424</v>
      </c>
      <c r="J11" s="158" t="str">
        <f>VLOOKUP(G11,MD!$C$6:$K$58,3,FALSE)</f>
        <v>SCAA - 文龍</v>
      </c>
      <c r="K11" s="158">
        <v>1</v>
      </c>
      <c r="L11" s="158">
        <f>22+23</f>
        <v>45</v>
      </c>
      <c r="M11" s="158">
        <f>20+25</f>
        <v>45</v>
      </c>
      <c r="N11" s="158">
        <v>1</v>
      </c>
      <c r="O11" s="173" t="s">
        <v>437</v>
      </c>
      <c r="Q11" s="176">
        <v>5</v>
      </c>
      <c r="R11" s="171" t="s">
        <v>76</v>
      </c>
      <c r="S11" s="176">
        <v>2</v>
      </c>
      <c r="T11" s="176">
        <v>1</v>
      </c>
      <c r="U11" s="176">
        <v>4</v>
      </c>
      <c r="V11" s="176">
        <v>197</v>
      </c>
      <c r="W11" s="176">
        <v>233</v>
      </c>
      <c r="X11" s="177">
        <v>0.8454935622317596</v>
      </c>
      <c r="Y11" s="176">
        <v>7</v>
      </c>
      <c r="AA11" s="176">
        <v>5</v>
      </c>
      <c r="AB11" s="75" t="s">
        <v>94</v>
      </c>
      <c r="AC11" s="176">
        <v>0</v>
      </c>
      <c r="AD11" s="176">
        <v>4</v>
      </c>
      <c r="AE11" s="176">
        <v>3</v>
      </c>
      <c r="AF11" s="176">
        <f>M8+M13+M16+M20+L25+L28+M31</f>
        <v>254</v>
      </c>
      <c r="AG11" s="176">
        <f>L8+L13+L16+L20+M25+M28+L31</f>
        <v>283</v>
      </c>
      <c r="AH11" s="177">
        <f t="shared" si="0"/>
        <v>0.8975265017667845</v>
      </c>
      <c r="AI11" s="176">
        <f t="shared" si="1"/>
        <v>4</v>
      </c>
    </row>
    <row r="12" spans="2:35" ht="20.25">
      <c r="B12" s="166">
        <v>7</v>
      </c>
      <c r="C12" s="167" t="s">
        <v>423</v>
      </c>
      <c r="D12" s="168">
        <v>7</v>
      </c>
      <c r="E12" s="163" t="s">
        <v>81</v>
      </c>
      <c r="F12" s="169" t="s">
        <v>424</v>
      </c>
      <c r="G12" s="182" t="s">
        <v>93</v>
      </c>
      <c r="H12" s="158" t="str">
        <f>VLOOKUP(E12,MD!$C$6:$K$58,3,FALSE)</f>
        <v>ALPS-米肥落去</v>
      </c>
      <c r="I12" s="171" t="s">
        <v>424</v>
      </c>
      <c r="J12" s="158" t="str">
        <f>VLOOKUP(G12,MD!$C$6:$K$58,3,FALSE)</f>
        <v>ALPS - TANGWO</v>
      </c>
      <c r="K12" s="158">
        <v>0</v>
      </c>
      <c r="L12" s="158">
        <f>16+13</f>
        <v>29</v>
      </c>
      <c r="M12" s="158">
        <f>21+21</f>
        <v>42</v>
      </c>
      <c r="N12" s="158">
        <v>2</v>
      </c>
      <c r="O12" s="173" t="s">
        <v>438</v>
      </c>
      <c r="Q12" s="176">
        <v>6</v>
      </c>
      <c r="R12" s="158" t="s">
        <v>70</v>
      </c>
      <c r="S12" s="176">
        <v>1</v>
      </c>
      <c r="T12" s="176">
        <v>2</v>
      </c>
      <c r="U12" s="176">
        <v>4</v>
      </c>
      <c r="V12" s="176">
        <v>204</v>
      </c>
      <c r="W12" s="176">
        <v>238</v>
      </c>
      <c r="X12" s="177">
        <v>0.8571428571428571</v>
      </c>
      <c r="Y12" s="176">
        <v>5</v>
      </c>
      <c r="AA12" s="176">
        <v>6</v>
      </c>
      <c r="AB12" s="75" t="s">
        <v>100</v>
      </c>
      <c r="AC12" s="176">
        <v>3</v>
      </c>
      <c r="AD12" s="176">
        <v>4</v>
      </c>
      <c r="AE12" s="176">
        <v>0</v>
      </c>
      <c r="AF12" s="176">
        <f>M7+M11+M15+M21+M25+M27+L30</f>
        <v>245</v>
      </c>
      <c r="AG12" s="176">
        <f>L7+L11+L15+L21+L25+L27+M30</f>
        <v>223</v>
      </c>
      <c r="AH12" s="177">
        <f t="shared" si="0"/>
        <v>1.0986547085201794</v>
      </c>
      <c r="AI12" s="176">
        <f t="shared" si="1"/>
        <v>13</v>
      </c>
    </row>
    <row r="13" spans="2:35" ht="20.25">
      <c r="B13" s="175">
        <v>8</v>
      </c>
      <c r="C13" s="167" t="s">
        <v>423</v>
      </c>
      <c r="D13" s="168">
        <v>8</v>
      </c>
      <c r="E13" s="179" t="s">
        <v>87</v>
      </c>
      <c r="F13" s="180" t="s">
        <v>424</v>
      </c>
      <c r="G13" s="181" t="s">
        <v>99</v>
      </c>
      <c r="H13" s="158" t="str">
        <f>VLOOKUP(E13,MD!$C$6:$K$58,3,FALSE)</f>
        <v>ALPS-KUZ</v>
      </c>
      <c r="I13" s="171" t="s">
        <v>424</v>
      </c>
      <c r="J13" s="158" t="str">
        <f>VLOOKUP(G13,MD!$C$6:$K$58,3,FALSE)</f>
        <v>SCAA LL</v>
      </c>
      <c r="K13" s="158">
        <v>1</v>
      </c>
      <c r="L13" s="158">
        <f>21+12</f>
        <v>33</v>
      </c>
      <c r="M13" s="158">
        <f>17+21</f>
        <v>38</v>
      </c>
      <c r="N13" s="158">
        <v>1</v>
      </c>
      <c r="O13" s="173" t="s">
        <v>439</v>
      </c>
      <c r="Q13" s="176">
        <v>7</v>
      </c>
      <c r="R13" s="171" t="s">
        <v>94</v>
      </c>
      <c r="S13" s="176">
        <v>0</v>
      </c>
      <c r="T13" s="176">
        <v>4</v>
      </c>
      <c r="U13" s="176">
        <v>3</v>
      </c>
      <c r="V13" s="176">
        <v>254</v>
      </c>
      <c r="W13" s="176">
        <v>283</v>
      </c>
      <c r="X13" s="177">
        <v>0.8975265017667845</v>
      </c>
      <c r="Y13" s="176">
        <v>4</v>
      </c>
      <c r="AA13" s="176">
        <v>7</v>
      </c>
      <c r="AB13" s="183" t="s">
        <v>106</v>
      </c>
      <c r="AC13" s="176">
        <v>4</v>
      </c>
      <c r="AD13" s="176">
        <v>3</v>
      </c>
      <c r="AE13" s="176">
        <v>0</v>
      </c>
      <c r="AF13" s="176">
        <f>M6+M10+M14+M18+M24+M28+M30</f>
        <v>252</v>
      </c>
      <c r="AG13" s="176">
        <f>L6+L10+L14+L18+L24+L28+L30</f>
        <v>221</v>
      </c>
      <c r="AH13" s="177">
        <f t="shared" si="0"/>
        <v>1.1402714932126696</v>
      </c>
      <c r="AI13" s="176">
        <f t="shared" si="1"/>
        <v>15</v>
      </c>
    </row>
    <row r="14" spans="2:35" ht="20.25">
      <c r="B14" s="166">
        <v>9</v>
      </c>
      <c r="C14" s="167" t="s">
        <v>423</v>
      </c>
      <c r="D14" s="168">
        <v>9</v>
      </c>
      <c r="E14" s="163" t="s">
        <v>81</v>
      </c>
      <c r="F14" s="169" t="s">
        <v>424</v>
      </c>
      <c r="G14" s="170" t="s">
        <v>111</v>
      </c>
      <c r="H14" s="158" t="str">
        <f>VLOOKUP(E14,MD!$C$6:$K$58,3,FALSE)</f>
        <v>ALPS-米肥落去</v>
      </c>
      <c r="I14" s="171" t="s">
        <v>424</v>
      </c>
      <c r="J14" s="158" t="str">
        <f>VLOOKUP(G14,MD!$C$6:$K$58,3,FALSE)</f>
        <v>仁濟</v>
      </c>
      <c r="K14" s="184">
        <v>0</v>
      </c>
      <c r="L14" s="184">
        <f>19+12</f>
        <v>31</v>
      </c>
      <c r="M14" s="184">
        <f>21+21</f>
        <v>42</v>
      </c>
      <c r="N14" s="185">
        <v>2</v>
      </c>
      <c r="O14" s="173" t="s">
        <v>440</v>
      </c>
      <c r="Q14" s="176">
        <v>8</v>
      </c>
      <c r="R14" s="171" t="s">
        <v>441</v>
      </c>
      <c r="S14" s="176">
        <v>0</v>
      </c>
      <c r="T14" s="176">
        <v>1</v>
      </c>
      <c r="U14" s="176">
        <v>6</v>
      </c>
      <c r="V14" s="176">
        <v>53</v>
      </c>
      <c r="W14" s="176">
        <v>290</v>
      </c>
      <c r="X14" s="177">
        <v>0.18275862068965518</v>
      </c>
      <c r="Y14" s="176">
        <v>1</v>
      </c>
      <c r="AA14" s="176">
        <v>8</v>
      </c>
      <c r="AB14" s="176" t="s">
        <v>441</v>
      </c>
      <c r="AC14" s="176">
        <v>0</v>
      </c>
      <c r="AD14" s="176">
        <v>1</v>
      </c>
      <c r="AE14" s="176">
        <v>6</v>
      </c>
      <c r="AF14" s="176">
        <f>L9+L13+L15+L18+M22+M26+M32</f>
        <v>53</v>
      </c>
      <c r="AG14" s="176">
        <f>M9+M13+42+42+42+42+42</f>
        <v>290</v>
      </c>
      <c r="AH14" s="177">
        <f t="shared" si="0"/>
        <v>0.18275862068965518</v>
      </c>
      <c r="AI14" s="176">
        <f t="shared" si="1"/>
        <v>1</v>
      </c>
    </row>
    <row r="15" spans="2:24" ht="20.25">
      <c r="B15" s="175">
        <v>10</v>
      </c>
      <c r="C15" s="167" t="s">
        <v>423</v>
      </c>
      <c r="D15" s="168">
        <v>10</v>
      </c>
      <c r="E15" s="163" t="s">
        <v>87</v>
      </c>
      <c r="F15" s="169" t="s">
        <v>424</v>
      </c>
      <c r="G15" s="170" t="s">
        <v>105</v>
      </c>
      <c r="H15" s="158" t="str">
        <f>VLOOKUP(E15,MD!$C$6:$K$58,3,FALSE)</f>
        <v>ALPS-KUZ</v>
      </c>
      <c r="I15" s="171" t="s">
        <v>424</v>
      </c>
      <c r="J15" s="158" t="str">
        <f>VLOOKUP(G15,MD!$C$6:$K$58,3,FALSE)</f>
        <v>SCAA - 文龍</v>
      </c>
      <c r="K15" s="158">
        <v>0</v>
      </c>
      <c r="L15" s="158">
        <v>0</v>
      </c>
      <c r="M15" s="158">
        <v>0</v>
      </c>
      <c r="N15" s="158">
        <v>2</v>
      </c>
      <c r="O15" s="173" t="s">
        <v>442</v>
      </c>
      <c r="Q15" s="186"/>
      <c r="R15" s="186"/>
      <c r="S15" s="186"/>
      <c r="T15" s="186"/>
      <c r="U15" s="186"/>
      <c r="V15" s="186"/>
      <c r="W15" s="186"/>
      <c r="X15" s="186"/>
    </row>
    <row r="16" spans="2:24" ht="20.25">
      <c r="B16" s="166">
        <v>11</v>
      </c>
      <c r="C16" s="167" t="s">
        <v>423</v>
      </c>
      <c r="D16" s="168">
        <v>11</v>
      </c>
      <c r="E16" s="163" t="s">
        <v>69</v>
      </c>
      <c r="F16" s="169" t="s">
        <v>424</v>
      </c>
      <c r="G16" s="170" t="s">
        <v>99</v>
      </c>
      <c r="H16" s="158" t="str">
        <f>VLOOKUP(E16,MD!$C$6:$K$58,3,FALSE)</f>
        <v>2R</v>
      </c>
      <c r="I16" s="171" t="s">
        <v>424</v>
      </c>
      <c r="J16" s="158" t="str">
        <f>VLOOKUP(G16,MD!$C$6:$K$58,3,FALSE)</f>
        <v>SCAA LL</v>
      </c>
      <c r="K16" s="158">
        <v>2</v>
      </c>
      <c r="L16" s="158">
        <f>21+21</f>
        <v>42</v>
      </c>
      <c r="M16" s="158">
        <f>15+11</f>
        <v>26</v>
      </c>
      <c r="N16" s="172">
        <v>0</v>
      </c>
      <c r="O16" s="173" t="s">
        <v>443</v>
      </c>
      <c r="Q16" s="186"/>
      <c r="R16" s="186"/>
      <c r="S16" s="186"/>
      <c r="T16" s="186"/>
      <c r="U16" s="186"/>
      <c r="V16" s="186"/>
      <c r="W16" s="186"/>
      <c r="X16" s="186"/>
    </row>
    <row r="17" spans="2:15" ht="20.25">
      <c r="B17" s="175">
        <v>12</v>
      </c>
      <c r="C17" s="167" t="s">
        <v>423</v>
      </c>
      <c r="D17" s="168">
        <v>12</v>
      </c>
      <c r="E17" s="179" t="s">
        <v>75</v>
      </c>
      <c r="F17" s="180" t="s">
        <v>424</v>
      </c>
      <c r="G17" s="181" t="s">
        <v>93</v>
      </c>
      <c r="H17" s="158" t="str">
        <f>VLOOKUP(E17,MD!$C$6:$K$58,3,FALSE)</f>
        <v>ALPS LC</v>
      </c>
      <c r="I17" s="171" t="s">
        <v>424</v>
      </c>
      <c r="J17" s="158" t="str">
        <f>VLOOKUP(G17,MD!$C$6:$K$58,3,FALSE)</f>
        <v>ALPS - TANGWO</v>
      </c>
      <c r="K17" s="158">
        <v>1</v>
      </c>
      <c r="L17" s="158">
        <f>21+18</f>
        <v>39</v>
      </c>
      <c r="M17" s="158">
        <f>15+21</f>
        <v>36</v>
      </c>
      <c r="N17" s="172">
        <v>1</v>
      </c>
      <c r="O17" s="173" t="s">
        <v>444</v>
      </c>
    </row>
    <row r="18" spans="2:256" ht="20.25">
      <c r="B18" s="166">
        <v>13</v>
      </c>
      <c r="C18" s="167" t="s">
        <v>423</v>
      </c>
      <c r="D18" s="168">
        <v>13</v>
      </c>
      <c r="E18" s="163" t="s">
        <v>87</v>
      </c>
      <c r="F18" s="169" t="s">
        <v>424</v>
      </c>
      <c r="G18" s="170" t="s">
        <v>111</v>
      </c>
      <c r="H18" s="187" t="str">
        <f>VLOOKUP(E18,MD!$C$6:$K$54,3,FALSE)</f>
        <v>ALPS-KUZ</v>
      </c>
      <c r="I18" s="188" t="s">
        <v>424</v>
      </c>
      <c r="J18" s="187" t="str">
        <f>VLOOKUP(G18,MD!$C$6:$K$54,3,FALSE)</f>
        <v>仁濟</v>
      </c>
      <c r="K18" s="158">
        <v>0</v>
      </c>
      <c r="L18" s="158">
        <v>0</v>
      </c>
      <c r="M18" s="158">
        <v>0</v>
      </c>
      <c r="N18" s="158">
        <v>2</v>
      </c>
      <c r="O18" s="173" t="s">
        <v>442</v>
      </c>
      <c r="R18"/>
      <c r="S18"/>
      <c r="T18"/>
      <c r="U18"/>
      <c r="V18"/>
      <c r="W18"/>
      <c r="X18"/>
      <c r="IO18"/>
      <c r="IP18"/>
      <c r="IQ18"/>
      <c r="IR18"/>
      <c r="IS18"/>
      <c r="IT18"/>
      <c r="IU18"/>
      <c r="IV18"/>
    </row>
    <row r="19" spans="2:256" ht="20.25">
      <c r="B19" s="175">
        <v>14</v>
      </c>
      <c r="C19" s="167" t="s">
        <v>423</v>
      </c>
      <c r="D19" s="168">
        <v>14</v>
      </c>
      <c r="E19" s="163" t="s">
        <v>69</v>
      </c>
      <c r="F19" s="169" t="s">
        <v>424</v>
      </c>
      <c r="G19" s="170" t="s">
        <v>93</v>
      </c>
      <c r="H19" s="187" t="str">
        <f>VLOOKUP(E19,MD!$C$6:$K$54,3,FALSE)</f>
        <v>2R</v>
      </c>
      <c r="I19" s="188" t="s">
        <v>424</v>
      </c>
      <c r="J19" s="187" t="str">
        <f>VLOOKUP(G19,MD!$C$6:$K$54,3,FALSE)</f>
        <v>ALPS - TANGWO</v>
      </c>
      <c r="K19" s="158">
        <v>1</v>
      </c>
      <c r="L19" s="158">
        <f>21+19</f>
        <v>40</v>
      </c>
      <c r="M19" s="158">
        <f>13+21</f>
        <v>34</v>
      </c>
      <c r="N19" s="172">
        <v>1</v>
      </c>
      <c r="O19" s="173" t="s">
        <v>445</v>
      </c>
      <c r="IO19"/>
      <c r="IP19"/>
      <c r="IQ19"/>
      <c r="IR19"/>
      <c r="IS19"/>
      <c r="IT19"/>
      <c r="IU19"/>
      <c r="IV19"/>
    </row>
    <row r="20" spans="2:256" ht="20.25">
      <c r="B20" s="166">
        <v>15</v>
      </c>
      <c r="C20" s="167" t="s">
        <v>423</v>
      </c>
      <c r="D20" s="168">
        <v>15</v>
      </c>
      <c r="E20" s="163" t="s">
        <v>75</v>
      </c>
      <c r="F20" s="169" t="s">
        <v>424</v>
      </c>
      <c r="G20" s="170" t="s">
        <v>99</v>
      </c>
      <c r="H20" s="187" t="str">
        <f>VLOOKUP(E20,MD!$C$6:$K$54,3,FALSE)</f>
        <v>ALPS LC</v>
      </c>
      <c r="I20" s="188" t="s">
        <v>424</v>
      </c>
      <c r="J20" s="187" t="str">
        <f>VLOOKUP(G20,MD!$C$6:$K$54,3,FALSE)</f>
        <v>SCAA LL</v>
      </c>
      <c r="K20" s="158">
        <v>1</v>
      </c>
      <c r="L20" s="158">
        <f>18+21</f>
        <v>39</v>
      </c>
      <c r="M20" s="158">
        <f>21+13</f>
        <v>34</v>
      </c>
      <c r="N20" s="172">
        <v>1</v>
      </c>
      <c r="O20" s="173" t="s">
        <v>446</v>
      </c>
      <c r="R20"/>
      <c r="S20"/>
      <c r="T20"/>
      <c r="U20"/>
      <c r="V20"/>
      <c r="W20"/>
      <c r="X20"/>
      <c r="IO20"/>
      <c r="IP20"/>
      <c r="IQ20"/>
      <c r="IR20"/>
      <c r="IS20"/>
      <c r="IT20"/>
      <c r="IU20"/>
      <c r="IV20"/>
    </row>
    <row r="21" spans="2:256" ht="20.25">
      <c r="B21" s="175">
        <v>16</v>
      </c>
      <c r="C21" s="167" t="s">
        <v>423</v>
      </c>
      <c r="D21" s="168">
        <v>16</v>
      </c>
      <c r="E21" s="179" t="s">
        <v>81</v>
      </c>
      <c r="F21" s="180" t="s">
        <v>424</v>
      </c>
      <c r="G21" s="181" t="s">
        <v>105</v>
      </c>
      <c r="H21" s="187" t="str">
        <f>VLOOKUP(E21,MD!$C$6:$K$54,3,FALSE)</f>
        <v>ALPS-米肥落去</v>
      </c>
      <c r="I21" s="188" t="s">
        <v>424</v>
      </c>
      <c r="J21" s="187" t="str">
        <f>VLOOKUP(G21,MD!$C$6:$K$54,3,FALSE)</f>
        <v>SCAA - 文龍</v>
      </c>
      <c r="K21" s="158">
        <v>0</v>
      </c>
      <c r="L21" s="158">
        <f>12+16</f>
        <v>28</v>
      </c>
      <c r="M21" s="158">
        <f>21+21</f>
        <v>42</v>
      </c>
      <c r="N21" s="172">
        <v>2</v>
      </c>
      <c r="O21" s="173" t="s">
        <v>447</v>
      </c>
      <c r="IO21"/>
      <c r="IP21"/>
      <c r="IQ21"/>
      <c r="IR21"/>
      <c r="IS21"/>
      <c r="IT21"/>
      <c r="IU21"/>
      <c r="IV21"/>
    </row>
    <row r="22" spans="2:256" ht="20.25">
      <c r="B22" s="166">
        <v>17</v>
      </c>
      <c r="C22" s="167" t="s">
        <v>423</v>
      </c>
      <c r="D22" s="168">
        <v>17</v>
      </c>
      <c r="E22" s="163" t="s">
        <v>69</v>
      </c>
      <c r="F22" s="169" t="s">
        <v>424</v>
      </c>
      <c r="G22" s="170" t="s">
        <v>87</v>
      </c>
      <c r="H22" s="187" t="str">
        <f>VLOOKUP(E22,MD!$C$6:$K$54,3,FALSE)</f>
        <v>2R</v>
      </c>
      <c r="I22" s="188" t="s">
        <v>424</v>
      </c>
      <c r="J22" s="187" t="str">
        <f>VLOOKUP(G22,MD!$C$6:$K$54,3,FALSE)</f>
        <v>ALPS-KUZ</v>
      </c>
      <c r="K22" s="158">
        <v>2</v>
      </c>
      <c r="L22" s="158">
        <v>0</v>
      </c>
      <c r="M22" s="158">
        <v>0</v>
      </c>
      <c r="N22" s="172">
        <v>0</v>
      </c>
      <c r="O22" s="173" t="s">
        <v>448</v>
      </c>
      <c r="IO22"/>
      <c r="IP22"/>
      <c r="IQ22"/>
      <c r="IR22"/>
      <c r="IS22"/>
      <c r="IT22"/>
      <c r="IU22"/>
      <c r="IV22"/>
    </row>
    <row r="23" spans="2:256" ht="20.25">
      <c r="B23" s="175">
        <v>18</v>
      </c>
      <c r="C23" s="167" t="s">
        <v>423</v>
      </c>
      <c r="D23" s="168">
        <v>18</v>
      </c>
      <c r="E23" s="163" t="s">
        <v>75</v>
      </c>
      <c r="F23" s="169" t="s">
        <v>424</v>
      </c>
      <c r="G23" s="170" t="s">
        <v>81</v>
      </c>
      <c r="H23" s="187" t="str">
        <f>VLOOKUP(E23,MD!$C$6:$K$54,3,FALSE)</f>
        <v>ALPS LC</v>
      </c>
      <c r="I23" s="188" t="s">
        <v>424</v>
      </c>
      <c r="J23" s="187" t="str">
        <f>VLOOKUP(G23,MD!$C$6:$K$54,3,FALSE)</f>
        <v>ALPS-米肥落去</v>
      </c>
      <c r="K23" s="158">
        <v>0</v>
      </c>
      <c r="L23" s="158">
        <f>18+9</f>
        <v>27</v>
      </c>
      <c r="M23" s="158">
        <f>21+21</f>
        <v>42</v>
      </c>
      <c r="N23" s="172">
        <v>2</v>
      </c>
      <c r="O23" s="173" t="s">
        <v>449</v>
      </c>
      <c r="IO23"/>
      <c r="IP23"/>
      <c r="IQ23"/>
      <c r="IR23"/>
      <c r="IS23"/>
      <c r="IT23"/>
      <c r="IU23"/>
      <c r="IV23"/>
    </row>
    <row r="24" spans="2:256" ht="20.25">
      <c r="B24" s="166">
        <v>19</v>
      </c>
      <c r="C24" s="167" t="s">
        <v>423</v>
      </c>
      <c r="D24" s="168">
        <v>19</v>
      </c>
      <c r="E24" s="163" t="s">
        <v>93</v>
      </c>
      <c r="F24" s="169" t="s">
        <v>424</v>
      </c>
      <c r="G24" s="170" t="s">
        <v>111</v>
      </c>
      <c r="H24" s="187" t="str">
        <f>VLOOKUP(E24,MD!$C$6:$K$54,3,FALSE)</f>
        <v>ALPS - TANGWO</v>
      </c>
      <c r="I24" s="188" t="s">
        <v>424</v>
      </c>
      <c r="J24" s="187" t="str">
        <f>VLOOKUP(G24,MD!$C$6:$K$54,3,FALSE)</f>
        <v>仁濟</v>
      </c>
      <c r="K24" s="158">
        <v>1</v>
      </c>
      <c r="L24" s="158">
        <f>13+21</f>
        <v>34</v>
      </c>
      <c r="M24" s="158">
        <f>21+19</f>
        <v>40</v>
      </c>
      <c r="N24" s="172">
        <v>1</v>
      </c>
      <c r="O24" s="173" t="s">
        <v>450</v>
      </c>
      <c r="IO24"/>
      <c r="IP24"/>
      <c r="IQ24"/>
      <c r="IR24"/>
      <c r="IS24"/>
      <c r="IT24"/>
      <c r="IU24"/>
      <c r="IV24"/>
    </row>
    <row r="25" spans="2:256" ht="20.25">
      <c r="B25" s="175">
        <v>20</v>
      </c>
      <c r="C25" s="167" t="s">
        <v>423</v>
      </c>
      <c r="D25" s="168">
        <v>20</v>
      </c>
      <c r="E25" s="179" t="s">
        <v>99</v>
      </c>
      <c r="F25" s="180" t="s">
        <v>424</v>
      </c>
      <c r="G25" s="181" t="s">
        <v>105</v>
      </c>
      <c r="H25" s="187" t="str">
        <f>VLOOKUP(E25,MD!$C$6:$K$54,3,FALSE)</f>
        <v>SCAA LL</v>
      </c>
      <c r="I25" s="188" t="s">
        <v>424</v>
      </c>
      <c r="J25" s="187" t="str">
        <f>VLOOKUP(G25,MD!$C$6:$K$54,3,FALSE)</f>
        <v>SCAA - 文龍</v>
      </c>
      <c r="K25" s="158">
        <v>1</v>
      </c>
      <c r="L25" s="158">
        <f>18+21</f>
        <v>39</v>
      </c>
      <c r="M25" s="158">
        <f>21+18</f>
        <v>39</v>
      </c>
      <c r="N25" s="172">
        <v>1</v>
      </c>
      <c r="O25" s="173" t="s">
        <v>451</v>
      </c>
      <c r="IO25"/>
      <c r="IP25"/>
      <c r="IQ25"/>
      <c r="IR25"/>
      <c r="IS25"/>
      <c r="IT25"/>
      <c r="IU25"/>
      <c r="IV25"/>
    </row>
    <row r="26" spans="2:256" ht="20.25">
      <c r="B26" s="166">
        <v>21</v>
      </c>
      <c r="C26" s="167" t="s">
        <v>423</v>
      </c>
      <c r="D26" s="168">
        <v>21</v>
      </c>
      <c r="E26" s="163" t="s">
        <v>75</v>
      </c>
      <c r="F26" s="169" t="s">
        <v>424</v>
      </c>
      <c r="G26" s="170" t="s">
        <v>87</v>
      </c>
      <c r="H26" s="158" t="str">
        <f>VLOOKUP(E26,MD!$C$6:$K$54,3,FALSE)</f>
        <v>ALPS LC</v>
      </c>
      <c r="I26" s="171" t="s">
        <v>424</v>
      </c>
      <c r="J26" s="158" t="str">
        <f>VLOOKUP(G26,MD!$C$6:$K$54,3,FALSE)</f>
        <v>ALPS-KUZ</v>
      </c>
      <c r="K26" s="158">
        <v>2</v>
      </c>
      <c r="L26" s="158">
        <v>0</v>
      </c>
      <c r="M26" s="158">
        <v>0</v>
      </c>
      <c r="N26" s="172">
        <v>0</v>
      </c>
      <c r="O26" s="173" t="s">
        <v>448</v>
      </c>
      <c r="IO26"/>
      <c r="IP26"/>
      <c r="IQ26"/>
      <c r="IR26"/>
      <c r="IS26"/>
      <c r="IT26"/>
      <c r="IU26"/>
      <c r="IV26"/>
    </row>
    <row r="27" spans="2:15" ht="20.25">
      <c r="B27" s="175">
        <v>22</v>
      </c>
      <c r="C27" s="167" t="s">
        <v>423</v>
      </c>
      <c r="D27" s="168">
        <v>22</v>
      </c>
      <c r="E27" s="163" t="s">
        <v>93</v>
      </c>
      <c r="F27" s="169" t="s">
        <v>424</v>
      </c>
      <c r="G27" s="170" t="s">
        <v>105</v>
      </c>
      <c r="H27" s="158" t="str">
        <f>VLOOKUP(E27,MD!$C$6:$K$54,3,FALSE)</f>
        <v>ALPS - TANGWO</v>
      </c>
      <c r="I27" s="171" t="s">
        <v>424</v>
      </c>
      <c r="J27" s="158" t="str">
        <f>VLOOKUP(G27,MD!$C$6:$K$54,3,FALSE)</f>
        <v>SCAA - 文龍</v>
      </c>
      <c r="K27" s="158">
        <v>1</v>
      </c>
      <c r="L27" s="158">
        <f>21+16</f>
        <v>37</v>
      </c>
      <c r="M27" s="158">
        <f>19+21</f>
        <v>40</v>
      </c>
      <c r="N27" s="172">
        <v>1</v>
      </c>
      <c r="O27" s="139" t="s">
        <v>452</v>
      </c>
    </row>
    <row r="28" spans="2:15" ht="20.25">
      <c r="B28" s="166">
        <v>23</v>
      </c>
      <c r="C28" s="167" t="s">
        <v>423</v>
      </c>
      <c r="D28" s="168">
        <v>23</v>
      </c>
      <c r="E28" s="163" t="s">
        <v>99</v>
      </c>
      <c r="F28" s="169" t="s">
        <v>424</v>
      </c>
      <c r="G28" s="170" t="s">
        <v>111</v>
      </c>
      <c r="H28" s="158" t="str">
        <f>VLOOKUP(E28,MD!$C$6:$K$54,3,FALSE)</f>
        <v>SCAA LL</v>
      </c>
      <c r="I28" s="171" t="s">
        <v>424</v>
      </c>
      <c r="J28" s="158" t="str">
        <f>VLOOKUP(G28,MD!$C$6:$K$54,3,FALSE)</f>
        <v>仁濟</v>
      </c>
      <c r="K28" s="158">
        <v>0</v>
      </c>
      <c r="L28" s="158">
        <f>19+27</f>
        <v>46</v>
      </c>
      <c r="M28" s="158">
        <f>21+29</f>
        <v>50</v>
      </c>
      <c r="N28" s="172">
        <v>2</v>
      </c>
      <c r="O28" s="139" t="s">
        <v>453</v>
      </c>
    </row>
    <row r="29" spans="2:15" ht="20.25">
      <c r="B29" s="175">
        <v>24</v>
      </c>
      <c r="C29" s="167" t="s">
        <v>423</v>
      </c>
      <c r="D29" s="168">
        <v>24</v>
      </c>
      <c r="E29" s="179" t="s">
        <v>69</v>
      </c>
      <c r="F29" s="180" t="s">
        <v>424</v>
      </c>
      <c r="G29" s="181" t="s">
        <v>81</v>
      </c>
      <c r="H29" s="158" t="str">
        <f>VLOOKUP(E29,MD!$C$6:$K$54,3,FALSE)</f>
        <v>2R</v>
      </c>
      <c r="I29" s="171" t="s">
        <v>424</v>
      </c>
      <c r="J29" s="158" t="str">
        <f>VLOOKUP(G29,MD!$C$6:$K$54,3,FALSE)</f>
        <v>ALPS-米肥落去</v>
      </c>
      <c r="K29" s="158">
        <v>2</v>
      </c>
      <c r="L29" s="158">
        <f>21+21</f>
        <v>42</v>
      </c>
      <c r="M29" s="158">
        <f>10+19</f>
        <v>29</v>
      </c>
      <c r="N29" s="172">
        <v>0</v>
      </c>
      <c r="O29" s="139" t="s">
        <v>454</v>
      </c>
    </row>
    <row r="30" spans="2:15" ht="20.25">
      <c r="B30" s="166">
        <v>25</v>
      </c>
      <c r="C30" s="167" t="s">
        <v>423</v>
      </c>
      <c r="D30" s="168">
        <v>25</v>
      </c>
      <c r="E30" s="163" t="s">
        <v>105</v>
      </c>
      <c r="F30" s="169" t="s">
        <v>424</v>
      </c>
      <c r="G30" s="170" t="s">
        <v>111</v>
      </c>
      <c r="H30" s="158" t="str">
        <f>VLOOKUP(E30,MD!$C$6:$K$54,3,FALSE)</f>
        <v>SCAA - 文龍</v>
      </c>
      <c r="I30" s="171" t="s">
        <v>424</v>
      </c>
      <c r="J30" s="158" t="str">
        <f>VLOOKUP(G30,MD!$C$6:$K$54,3,FALSE)</f>
        <v>仁濟</v>
      </c>
      <c r="K30" s="158">
        <v>1</v>
      </c>
      <c r="L30" s="158">
        <f>21+16</f>
        <v>37</v>
      </c>
      <c r="M30" s="158">
        <f>17+21</f>
        <v>38</v>
      </c>
      <c r="N30" s="172">
        <v>1</v>
      </c>
      <c r="O30" s="139" t="s">
        <v>455</v>
      </c>
    </row>
    <row r="31" spans="2:15" ht="20.25">
      <c r="B31" s="175">
        <v>26</v>
      </c>
      <c r="C31" s="167" t="s">
        <v>423</v>
      </c>
      <c r="D31" s="168">
        <v>26</v>
      </c>
      <c r="E31" s="163" t="s">
        <v>93</v>
      </c>
      <c r="F31" s="169" t="s">
        <v>424</v>
      </c>
      <c r="G31" s="170" t="s">
        <v>99</v>
      </c>
      <c r="H31" s="158" t="str">
        <f>VLOOKUP(E31,MD!$C$6:$K$54,3,FALSE)</f>
        <v>ALPS - TANGWO</v>
      </c>
      <c r="I31" s="171" t="s">
        <v>424</v>
      </c>
      <c r="J31" s="158" t="str">
        <f>VLOOKUP(G31,MD!$C$6:$K$54,3,FALSE)</f>
        <v>SCAA LL</v>
      </c>
      <c r="K31" s="158">
        <v>2</v>
      </c>
      <c r="L31" s="158">
        <f>21+21</f>
        <v>42</v>
      </c>
      <c r="M31" s="158">
        <f>18+15</f>
        <v>33</v>
      </c>
      <c r="N31" s="172">
        <v>0</v>
      </c>
      <c r="O31" s="139" t="s">
        <v>456</v>
      </c>
    </row>
    <row r="32" spans="2:15" ht="20.25">
      <c r="B32" s="166">
        <v>27</v>
      </c>
      <c r="C32" s="167" t="s">
        <v>423</v>
      </c>
      <c r="D32" s="168">
        <v>27</v>
      </c>
      <c r="E32" s="163" t="s">
        <v>81</v>
      </c>
      <c r="F32" s="169" t="s">
        <v>424</v>
      </c>
      <c r="G32" s="170" t="s">
        <v>87</v>
      </c>
      <c r="H32" s="158" t="str">
        <f>VLOOKUP(E32,MD!$C$6:$K$54,3,FALSE)</f>
        <v>ALPS-米肥落去</v>
      </c>
      <c r="I32" s="171" t="s">
        <v>424</v>
      </c>
      <c r="J32" s="158" t="str">
        <f>VLOOKUP(G32,MD!$C$6:$K$54,3,FALSE)</f>
        <v>ALPS-KUZ</v>
      </c>
      <c r="K32" s="158">
        <v>2</v>
      </c>
      <c r="L32" s="158">
        <v>0</v>
      </c>
      <c r="M32" s="158">
        <v>0</v>
      </c>
      <c r="N32" s="172">
        <v>0</v>
      </c>
      <c r="O32" s="173" t="s">
        <v>448</v>
      </c>
    </row>
    <row r="33" spans="2:15" ht="20.25">
      <c r="B33" s="175">
        <v>28</v>
      </c>
      <c r="C33" s="189" t="s">
        <v>423</v>
      </c>
      <c r="D33" s="190">
        <v>28</v>
      </c>
      <c r="E33" s="179" t="s">
        <v>69</v>
      </c>
      <c r="F33" s="180" t="s">
        <v>424</v>
      </c>
      <c r="G33" s="181" t="s">
        <v>75</v>
      </c>
      <c r="H33" s="158" t="str">
        <f>VLOOKUP(E33,MD!$C$6:$K$54,3,FALSE)</f>
        <v>2R</v>
      </c>
      <c r="I33" s="171" t="s">
        <v>424</v>
      </c>
      <c r="J33" s="158" t="str">
        <f>VLOOKUP(G33,MD!$C$6:$K$54,3,FALSE)</f>
        <v>ALPS LC</v>
      </c>
      <c r="K33" s="158">
        <v>2</v>
      </c>
      <c r="L33" s="158">
        <f>21+21</f>
        <v>42</v>
      </c>
      <c r="M33" s="158">
        <f>16+15</f>
        <v>31</v>
      </c>
      <c r="N33" s="172">
        <v>0</v>
      </c>
      <c r="O33" s="139" t="s">
        <v>457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1" sqref="D11"/>
    </sheetView>
  </sheetViews>
  <sheetFormatPr defaultColWidth="8.796875" defaultRowHeight="15"/>
  <cols>
    <col min="1" max="1" width="8.8984375" style="594" customWidth="1"/>
    <col min="2" max="2" width="15.796875" style="594" customWidth="1"/>
    <col min="3" max="16384" width="8.8984375" style="594" customWidth="1"/>
  </cols>
  <sheetData>
    <row r="1" spans="1:5" ht="20.25" thickBot="1">
      <c r="A1" s="589" t="s">
        <v>1213</v>
      </c>
      <c r="B1" s="590"/>
      <c r="C1" s="590"/>
      <c r="D1" s="590"/>
      <c r="E1" s="590"/>
    </row>
    <row r="2" spans="1:5" ht="18" thickTop="1">
      <c r="A2" s="590"/>
      <c r="B2" s="590"/>
      <c r="C2" s="590"/>
      <c r="D2" s="590"/>
      <c r="E2" s="590"/>
    </row>
    <row r="3" spans="1:5" ht="17.25">
      <c r="A3" s="591" t="s">
        <v>1208</v>
      </c>
      <c r="B3" s="591" t="s">
        <v>1209</v>
      </c>
      <c r="C3" s="591" t="s">
        <v>1210</v>
      </c>
      <c r="D3" s="591" t="s">
        <v>1210</v>
      </c>
      <c r="E3" s="591" t="s">
        <v>415</v>
      </c>
    </row>
    <row r="4" spans="1:5" ht="17.25">
      <c r="A4" s="590">
        <v>1</v>
      </c>
      <c r="B4" s="595" t="s">
        <v>106</v>
      </c>
      <c r="C4" s="596" t="s">
        <v>109</v>
      </c>
      <c r="D4" s="596" t="s">
        <v>107</v>
      </c>
      <c r="E4" s="590">
        <v>144</v>
      </c>
    </row>
    <row r="5" spans="1:5" ht="17.25">
      <c r="A5" s="590">
        <v>2</v>
      </c>
      <c r="B5" s="595" t="s">
        <v>64</v>
      </c>
      <c r="C5" s="596" t="s">
        <v>65</v>
      </c>
      <c r="D5" s="596" t="s">
        <v>67</v>
      </c>
      <c r="E5" s="590">
        <v>132</v>
      </c>
    </row>
    <row r="6" spans="1:5" ht="17.25">
      <c r="A6" s="590">
        <v>3</v>
      </c>
      <c r="B6" s="595" t="s">
        <v>88</v>
      </c>
      <c r="C6" s="596" t="s">
        <v>89</v>
      </c>
      <c r="D6" s="596" t="s">
        <v>91</v>
      </c>
      <c r="E6" s="590">
        <v>120</v>
      </c>
    </row>
    <row r="7" spans="1:5" ht="17.25">
      <c r="A7" s="590">
        <v>4</v>
      </c>
      <c r="B7" s="595" t="s">
        <v>401</v>
      </c>
      <c r="C7" s="596" t="s">
        <v>101</v>
      </c>
      <c r="D7" s="596" t="s">
        <v>103</v>
      </c>
      <c r="E7" s="590">
        <v>108</v>
      </c>
    </row>
    <row r="8" spans="1:5" ht="17.25">
      <c r="A8" s="590">
        <v>5</v>
      </c>
      <c r="B8" s="595" t="s">
        <v>404</v>
      </c>
      <c r="C8" s="596" t="s">
        <v>77</v>
      </c>
      <c r="D8" s="596" t="s">
        <v>79</v>
      </c>
      <c r="E8" s="590">
        <v>96</v>
      </c>
    </row>
    <row r="9" spans="1:5" ht="17.25">
      <c r="A9" s="590">
        <v>6</v>
      </c>
      <c r="B9" s="595" t="s">
        <v>70</v>
      </c>
      <c r="C9" s="596" t="s">
        <v>71</v>
      </c>
      <c r="D9" s="596" t="s">
        <v>73</v>
      </c>
      <c r="E9" s="590">
        <v>90</v>
      </c>
    </row>
    <row r="10" spans="1:5" ht="17.25">
      <c r="A10" s="590">
        <v>7</v>
      </c>
      <c r="B10" s="595" t="s">
        <v>94</v>
      </c>
      <c r="C10" s="596" t="s">
        <v>95</v>
      </c>
      <c r="D10" s="596" t="s">
        <v>97</v>
      </c>
      <c r="E10" s="590">
        <v>84</v>
      </c>
    </row>
    <row r="11" spans="1:5" ht="17.25">
      <c r="A11" s="590">
        <v>8</v>
      </c>
      <c r="B11" s="595" t="s">
        <v>82</v>
      </c>
      <c r="C11" s="596" t="s">
        <v>83</v>
      </c>
      <c r="D11" s="596" t="s">
        <v>85</v>
      </c>
      <c r="E11" s="590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8"/>
  <sheetViews>
    <sheetView zoomScale="60" zoomScaleNormal="60" zoomScalePageLayoutView="0" workbookViewId="0" topLeftCell="A22">
      <selection activeCell="G72" sqref="G72"/>
    </sheetView>
  </sheetViews>
  <sheetFormatPr defaultColWidth="7.69921875" defaultRowHeight="15"/>
  <cols>
    <col min="1" max="1" width="15.796875" style="96" customWidth="1"/>
    <col min="2" max="2" width="15.796875" style="191" customWidth="1"/>
    <col min="3" max="4" width="15.796875" style="107" customWidth="1"/>
    <col min="5" max="10" width="15.796875" style="96" customWidth="1"/>
    <col min="11" max="15" width="11" style="96" customWidth="1"/>
    <col min="16" max="16" width="11.796875" style="96" customWidth="1"/>
    <col min="17" max="16384" width="7.69921875" style="96" customWidth="1"/>
  </cols>
  <sheetData>
    <row r="1" spans="2:5" ht="17.25">
      <c r="B1" s="192" t="s">
        <v>458</v>
      </c>
      <c r="C1" s="193"/>
      <c r="D1" s="193"/>
      <c r="E1" s="99"/>
    </row>
    <row r="2" spans="2:5" ht="17.25">
      <c r="B2" s="194" t="s">
        <v>459</v>
      </c>
      <c r="C2" s="193"/>
      <c r="D2" s="193"/>
      <c r="E2" s="99"/>
    </row>
    <row r="3" spans="2:9" ht="17.25">
      <c r="B3" s="195"/>
      <c r="C3" s="196"/>
      <c r="D3" s="196"/>
      <c r="E3" s="197"/>
      <c r="F3" s="198"/>
      <c r="G3" s="198"/>
      <c r="H3" s="198"/>
      <c r="I3" s="198"/>
    </row>
    <row r="4" spans="2:18" ht="17.25">
      <c r="B4" s="199" t="s">
        <v>423</v>
      </c>
      <c r="C4" s="199" t="s">
        <v>460</v>
      </c>
      <c r="D4" s="199" t="s">
        <v>461</v>
      </c>
      <c r="E4" s="199" t="s">
        <v>462</v>
      </c>
      <c r="F4" s="199" t="s">
        <v>463</v>
      </c>
      <c r="G4" s="199" t="s">
        <v>464</v>
      </c>
      <c r="H4" s="199" t="s">
        <v>465</v>
      </c>
      <c r="I4" s="199" t="s">
        <v>466</v>
      </c>
      <c r="K4" s="107"/>
      <c r="P4" s="107"/>
      <c r="Q4" s="107"/>
      <c r="R4" s="107"/>
    </row>
    <row r="5" spans="2:9" ht="17.25">
      <c r="B5" s="200" t="s">
        <v>467</v>
      </c>
      <c r="C5" s="200" t="s">
        <v>468</v>
      </c>
      <c r="D5" s="200" t="s">
        <v>469</v>
      </c>
      <c r="E5" s="200" t="s">
        <v>470</v>
      </c>
      <c r="F5" s="200" t="s">
        <v>471</v>
      </c>
      <c r="G5" s="200" t="s">
        <v>472</v>
      </c>
      <c r="H5" s="200" t="s">
        <v>473</v>
      </c>
      <c r="I5" s="200" t="s">
        <v>474</v>
      </c>
    </row>
    <row r="6" spans="2:9" ht="17.25">
      <c r="B6" s="200" t="s">
        <v>475</v>
      </c>
      <c r="C6" s="200" t="s">
        <v>476</v>
      </c>
      <c r="D6" s="200" t="s">
        <v>477</v>
      </c>
      <c r="E6" s="200" t="s">
        <v>478</v>
      </c>
      <c r="F6" s="200" t="s">
        <v>479</v>
      </c>
      <c r="G6" s="200" t="s">
        <v>480</v>
      </c>
      <c r="H6" s="200" t="s">
        <v>481</v>
      </c>
      <c r="I6" s="200" t="s">
        <v>482</v>
      </c>
    </row>
    <row r="7" spans="2:9" ht="17.25">
      <c r="B7" s="201" t="s">
        <v>483</v>
      </c>
      <c r="C7" s="201" t="s">
        <v>484</v>
      </c>
      <c r="D7" s="201" t="s">
        <v>485</v>
      </c>
      <c r="E7" s="201" t="s">
        <v>486</v>
      </c>
      <c r="F7" s="201" t="s">
        <v>487</v>
      </c>
      <c r="G7" s="201" t="s">
        <v>488</v>
      </c>
      <c r="H7" s="201" t="s">
        <v>489</v>
      </c>
      <c r="I7" s="201" t="s">
        <v>490</v>
      </c>
    </row>
    <row r="8" spans="2:9" ht="17.25">
      <c r="B8" s="202" t="s">
        <v>491</v>
      </c>
      <c r="C8" s="203" t="s">
        <v>492</v>
      </c>
      <c r="D8" s="203" t="s">
        <v>493</v>
      </c>
      <c r="E8" s="203" t="s">
        <v>494</v>
      </c>
      <c r="F8" s="203" t="s">
        <v>495</v>
      </c>
      <c r="G8" s="203" t="s">
        <v>496</v>
      </c>
      <c r="H8" s="203" t="s">
        <v>497</v>
      </c>
      <c r="I8" s="204" t="s">
        <v>498</v>
      </c>
    </row>
    <row r="9" spans="2:9" ht="17.25">
      <c r="B9" s="205" t="s">
        <v>499</v>
      </c>
      <c r="C9" s="206" t="s">
        <v>500</v>
      </c>
      <c r="D9" s="206" t="s">
        <v>501</v>
      </c>
      <c r="E9" s="206" t="s">
        <v>502</v>
      </c>
      <c r="F9" s="206" t="s">
        <v>503</v>
      </c>
      <c r="G9" s="206" t="s">
        <v>504</v>
      </c>
      <c r="H9" s="206" t="s">
        <v>505</v>
      </c>
      <c r="I9" s="207" t="s">
        <v>506</v>
      </c>
    </row>
    <row r="10" spans="2:9" ht="17.25">
      <c r="B10" s="208"/>
      <c r="C10" s="209"/>
      <c r="D10" s="210"/>
      <c r="E10" s="211" t="s">
        <v>507</v>
      </c>
      <c r="F10" s="211" t="s">
        <v>508</v>
      </c>
      <c r="G10" s="211" t="s">
        <v>509</v>
      </c>
      <c r="H10" s="211" t="s">
        <v>510</v>
      </c>
      <c r="I10" s="212" t="s">
        <v>511</v>
      </c>
    </row>
    <row r="11" spans="2:4" ht="17.25">
      <c r="B11" s="213"/>
      <c r="D11" s="96"/>
    </row>
    <row r="12" spans="2:7" ht="17.25">
      <c r="B12" s="214"/>
      <c r="C12" s="215"/>
      <c r="D12" s="215"/>
      <c r="E12" s="198"/>
      <c r="F12" s="198"/>
      <c r="G12" s="198"/>
    </row>
    <row r="13" spans="2:4" ht="17.25">
      <c r="B13" s="216" t="s">
        <v>512</v>
      </c>
      <c r="D13" s="96"/>
    </row>
    <row r="14" ht="17.25">
      <c r="D14" s="96"/>
    </row>
    <row r="15" spans="2:4" ht="18">
      <c r="B15" s="217" t="s">
        <v>513</v>
      </c>
      <c r="C15" s="218"/>
      <c r="D15" s="126"/>
    </row>
    <row r="16" spans="2:4" ht="18">
      <c r="B16" s="219" t="str">
        <f>MD!E37</f>
        <v>兄弟草</v>
      </c>
      <c r="C16" s="220"/>
      <c r="D16" s="191"/>
    </row>
    <row r="17" spans="2:10" ht="17.25">
      <c r="B17" s="131" t="s">
        <v>514</v>
      </c>
      <c r="C17" s="109"/>
      <c r="D17" s="221" t="str">
        <f>B16</f>
        <v>兄弟草</v>
      </c>
      <c r="H17" s="222"/>
      <c r="I17" s="222"/>
      <c r="J17" s="223"/>
    </row>
    <row r="18" spans="2:10" ht="18">
      <c r="B18" s="224" t="s">
        <v>515</v>
      </c>
      <c r="C18" s="225"/>
      <c r="D18" s="226"/>
      <c r="H18" s="222"/>
      <c r="I18" s="222"/>
      <c r="J18" s="223"/>
    </row>
    <row r="19" spans="2:10" ht="18">
      <c r="B19" s="227"/>
      <c r="C19" s="228"/>
      <c r="D19" s="229" t="s">
        <v>516</v>
      </c>
      <c r="E19" s="118"/>
      <c r="F19" s="230" t="str">
        <f>D22</f>
        <v>ANTS</v>
      </c>
      <c r="G19" s="231" t="s">
        <v>517</v>
      </c>
      <c r="H19" s="232"/>
      <c r="I19" s="223"/>
      <c r="J19" s="223"/>
    </row>
    <row r="20" spans="2:10" ht="18">
      <c r="B20" s="233" t="s">
        <v>518</v>
      </c>
      <c r="C20" s="228"/>
      <c r="D20" s="226" t="s">
        <v>519</v>
      </c>
      <c r="H20" s="232"/>
      <c r="I20" s="223"/>
      <c r="J20" s="223"/>
    </row>
    <row r="21" spans="2:10" ht="18">
      <c r="B21" s="219" t="str">
        <f>MD!E53</f>
        <v>ANTS</v>
      </c>
      <c r="C21" s="220"/>
      <c r="D21" s="234"/>
      <c r="H21" s="222"/>
      <c r="I21" s="222"/>
      <c r="J21" s="223"/>
    </row>
    <row r="22" spans="2:10" ht="17.25">
      <c r="B22" s="131"/>
      <c r="C22" s="109" t="s">
        <v>520</v>
      </c>
      <c r="D22" s="235" t="str">
        <f>B21</f>
        <v>ANTS</v>
      </c>
      <c r="H22" s="222"/>
      <c r="I22" s="222"/>
      <c r="J22" s="223"/>
    </row>
    <row r="23" spans="2:10" ht="17.25">
      <c r="B23" s="131" t="s">
        <v>521</v>
      </c>
      <c r="C23" s="122" t="s">
        <v>522</v>
      </c>
      <c r="D23" s="236"/>
      <c r="H23" s="222"/>
      <c r="I23" s="222"/>
      <c r="J23" s="223"/>
    </row>
    <row r="24" spans="2:10" ht="18">
      <c r="B24" s="221" t="str">
        <f>MD!E56</f>
        <v>Ying Fung</v>
      </c>
      <c r="C24" s="225"/>
      <c r="D24" s="227"/>
      <c r="H24" s="222"/>
      <c r="I24" s="232"/>
      <c r="J24" s="232"/>
    </row>
    <row r="25" spans="2:15" ht="18">
      <c r="B25" s="217"/>
      <c r="C25" s="237"/>
      <c r="D25" s="233"/>
      <c r="E25" s="222"/>
      <c r="F25" s="238"/>
      <c r="H25" s="126"/>
      <c r="M25" s="222"/>
      <c r="N25" s="222"/>
      <c r="O25" s="223"/>
    </row>
    <row r="26" spans="2:4" ht="18">
      <c r="B26" s="217" t="s">
        <v>523</v>
      </c>
      <c r="C26" s="239"/>
      <c r="D26" s="217"/>
    </row>
    <row r="27" spans="2:4" ht="18">
      <c r="B27" s="219" t="str">
        <f>MD!E48</f>
        <v>羅中小伙子</v>
      </c>
      <c r="C27" s="220"/>
      <c r="D27" s="191"/>
    </row>
    <row r="28" spans="2:4" ht="17.25">
      <c r="B28" s="131" t="s">
        <v>524</v>
      </c>
      <c r="C28" s="109"/>
      <c r="D28" s="221" t="str">
        <f>B27</f>
        <v>羅中小伙子</v>
      </c>
    </row>
    <row r="29" spans="2:4" ht="18">
      <c r="B29" s="224" t="s">
        <v>515</v>
      </c>
      <c r="C29" s="225"/>
      <c r="D29" s="226"/>
    </row>
    <row r="30" spans="2:7" ht="18">
      <c r="B30" s="227"/>
      <c r="C30" s="228"/>
      <c r="D30" s="229" t="s">
        <v>525</v>
      </c>
      <c r="E30" s="118"/>
      <c r="F30" s="230" t="str">
        <f>D33</f>
        <v>AE</v>
      </c>
      <c r="G30" s="231" t="s">
        <v>526</v>
      </c>
    </row>
    <row r="31" spans="2:4" ht="18">
      <c r="B31" s="233" t="s">
        <v>527</v>
      </c>
      <c r="C31" s="228"/>
      <c r="D31" s="226" t="s">
        <v>528</v>
      </c>
    </row>
    <row r="32" spans="2:4" ht="18">
      <c r="B32" s="219" t="str">
        <f>MD!E51</f>
        <v>AE</v>
      </c>
      <c r="C32" s="220"/>
      <c r="D32" s="234"/>
    </row>
    <row r="33" spans="2:4" ht="17.25">
      <c r="B33" s="131" t="s">
        <v>529</v>
      </c>
      <c r="C33" s="109"/>
      <c r="D33" s="235" t="str">
        <f>B32</f>
        <v>AE</v>
      </c>
    </row>
    <row r="34" spans="2:4" ht="18">
      <c r="B34" s="224" t="s">
        <v>515</v>
      </c>
      <c r="C34" s="225"/>
      <c r="D34" s="227"/>
    </row>
    <row r="35" spans="2:4" ht="18">
      <c r="B35" s="96"/>
      <c r="C35" s="240"/>
      <c r="D35" s="191"/>
    </row>
    <row r="36" spans="2:4" ht="18">
      <c r="B36" s="217" t="s">
        <v>530</v>
      </c>
      <c r="C36" s="239"/>
      <c r="D36" s="217"/>
    </row>
    <row r="37" spans="2:4" ht="18">
      <c r="B37" s="219" t="str">
        <f>MD!E44</f>
        <v>BallMing</v>
      </c>
      <c r="C37" s="220"/>
      <c r="D37" s="191"/>
    </row>
    <row r="38" spans="2:4" ht="17.25">
      <c r="B38" s="131" t="s">
        <v>531</v>
      </c>
      <c r="C38" s="109"/>
      <c r="D38" s="221" t="str">
        <f>B37</f>
        <v>BallMing</v>
      </c>
    </row>
    <row r="39" spans="2:4" ht="18">
      <c r="B39" s="224" t="s">
        <v>515</v>
      </c>
      <c r="C39" s="225"/>
      <c r="D39" s="226"/>
    </row>
    <row r="40" spans="2:7" ht="18">
      <c r="B40" s="227"/>
      <c r="C40" s="228"/>
      <c r="D40" s="229" t="s">
        <v>532</v>
      </c>
      <c r="E40" s="118"/>
      <c r="F40" s="230" t="str">
        <f>D38</f>
        <v>BallMing</v>
      </c>
      <c r="G40" s="231" t="s">
        <v>533</v>
      </c>
    </row>
    <row r="41" spans="2:4" ht="18">
      <c r="B41" s="233" t="s">
        <v>534</v>
      </c>
      <c r="C41" s="228"/>
      <c r="D41" s="226" t="s">
        <v>535</v>
      </c>
    </row>
    <row r="42" spans="2:4" ht="18">
      <c r="B42" s="219" t="str">
        <f>MD!E46</f>
        <v>爭取快樂</v>
      </c>
      <c r="C42" s="220"/>
      <c r="D42" s="234"/>
    </row>
    <row r="43" spans="2:4" ht="17.25">
      <c r="B43" s="131"/>
      <c r="C43" s="109" t="s">
        <v>536</v>
      </c>
      <c r="D43" s="235" t="str">
        <f>B45</f>
        <v>斷手指尾</v>
      </c>
    </row>
    <row r="44" spans="2:4" ht="17.25">
      <c r="B44" s="131" t="s">
        <v>537</v>
      </c>
      <c r="C44" s="122" t="s">
        <v>538</v>
      </c>
      <c r="D44" s="236"/>
    </row>
    <row r="45" spans="2:4" ht="18">
      <c r="B45" s="221" t="str">
        <f>MD!E58</f>
        <v>斷手指尾</v>
      </c>
      <c r="C45" s="225"/>
      <c r="D45" s="227"/>
    </row>
    <row r="46" spans="2:5" ht="18">
      <c r="B46" s="217"/>
      <c r="C46" s="237"/>
      <c r="D46" s="233"/>
      <c r="E46" s="222"/>
    </row>
    <row r="47" spans="2:4" ht="18">
      <c r="B47" s="217" t="s">
        <v>539</v>
      </c>
      <c r="C47" s="239"/>
      <c r="D47" s="217"/>
    </row>
    <row r="48" spans="2:4" ht="18">
      <c r="B48" s="219" t="str">
        <f>MD!E52</f>
        <v>ALPS PAKSUN</v>
      </c>
      <c r="C48" s="220"/>
      <c r="D48" s="191"/>
    </row>
    <row r="49" spans="2:4" ht="17.25">
      <c r="B49" s="131"/>
      <c r="C49" s="109" t="s">
        <v>540</v>
      </c>
      <c r="D49" s="221" t="str">
        <f>B48</f>
        <v>ALPS PAKSUN</v>
      </c>
    </row>
    <row r="50" spans="2:4" ht="17.25">
      <c r="B50" s="131" t="s">
        <v>541</v>
      </c>
      <c r="C50" s="122" t="s">
        <v>542</v>
      </c>
      <c r="D50" s="226"/>
    </row>
    <row r="51" spans="2:4" ht="18">
      <c r="B51" s="221" t="str">
        <f>MD!E54</f>
        <v>Chakra</v>
      </c>
      <c r="C51" s="225"/>
      <c r="D51" s="226"/>
    </row>
    <row r="52" spans="2:7" ht="18">
      <c r="B52" s="227"/>
      <c r="C52" s="228"/>
      <c r="D52" s="229" t="s">
        <v>543</v>
      </c>
      <c r="E52" s="118"/>
      <c r="F52" s="230" t="str">
        <f>D55</f>
        <v>Swc</v>
      </c>
      <c r="G52" s="231" t="s">
        <v>544</v>
      </c>
    </row>
    <row r="53" spans="2:4" ht="18">
      <c r="B53" s="233" t="s">
        <v>545</v>
      </c>
      <c r="C53" s="228"/>
      <c r="D53" s="226" t="s">
        <v>546</v>
      </c>
    </row>
    <row r="54" spans="2:4" ht="18">
      <c r="B54" s="219" t="str">
        <f>MD!E42</f>
        <v>Swc</v>
      </c>
      <c r="C54" s="220"/>
      <c r="D54" s="234"/>
    </row>
    <row r="55" spans="2:4" ht="17.25">
      <c r="B55" s="131" t="s">
        <v>547</v>
      </c>
      <c r="C55" s="109"/>
      <c r="D55" s="235" t="str">
        <f>B54</f>
        <v>Swc</v>
      </c>
    </row>
    <row r="56" spans="2:4" ht="18">
      <c r="B56" s="224" t="s">
        <v>515</v>
      </c>
      <c r="C56" s="225"/>
      <c r="D56" s="227"/>
    </row>
    <row r="57" spans="3:4" ht="18">
      <c r="C57" s="240"/>
      <c r="D57" s="191"/>
    </row>
    <row r="58" spans="2:4" ht="18">
      <c r="B58" s="217" t="s">
        <v>548</v>
      </c>
      <c r="C58" s="239"/>
      <c r="D58" s="217"/>
    </row>
    <row r="59" spans="2:4" ht="18">
      <c r="B59" s="219" t="str">
        <f>MD!E40</f>
        <v>DD</v>
      </c>
      <c r="C59" s="220"/>
      <c r="D59" s="191"/>
    </row>
    <row r="60" spans="2:4" ht="17.25">
      <c r="B60" s="131" t="s">
        <v>549</v>
      </c>
      <c r="C60" s="109"/>
      <c r="D60" s="221" t="str">
        <f>B59</f>
        <v>DD</v>
      </c>
    </row>
    <row r="61" spans="2:4" ht="18">
      <c r="B61" s="224" t="s">
        <v>515</v>
      </c>
      <c r="C61" s="225"/>
      <c r="D61" s="226"/>
    </row>
    <row r="62" spans="2:7" ht="18">
      <c r="B62" s="227"/>
      <c r="C62" s="228"/>
      <c r="D62" s="229" t="s">
        <v>550</v>
      </c>
      <c r="E62" s="118"/>
      <c r="F62" s="230" t="str">
        <f>D65</f>
        <v>JC</v>
      </c>
      <c r="G62" s="231" t="s">
        <v>551</v>
      </c>
    </row>
    <row r="63" spans="2:4" ht="18">
      <c r="B63" s="233" t="s">
        <v>552</v>
      </c>
      <c r="C63" s="228"/>
      <c r="D63" s="226" t="s">
        <v>553</v>
      </c>
    </row>
    <row r="64" spans="2:4" ht="18">
      <c r="B64" s="219" t="str">
        <f>MD!E55</f>
        <v>JC</v>
      </c>
      <c r="C64" s="220"/>
      <c r="D64" s="234"/>
    </row>
    <row r="65" spans="2:4" ht="17.25">
      <c r="B65" s="131"/>
      <c r="C65" s="109" t="s">
        <v>554</v>
      </c>
      <c r="D65" s="235" t="str">
        <f>B64</f>
        <v>JC</v>
      </c>
    </row>
    <row r="66" spans="2:4" ht="17.25">
      <c r="B66" s="131" t="s">
        <v>555</v>
      </c>
      <c r="C66" s="241" t="s">
        <v>556</v>
      </c>
      <c r="D66" s="236"/>
    </row>
    <row r="67" spans="2:4" ht="18">
      <c r="B67" s="221" t="str">
        <f>MD!E57</f>
        <v>英華</v>
      </c>
      <c r="C67" s="225"/>
      <c r="D67" s="227"/>
    </row>
    <row r="68" spans="2:5" ht="18">
      <c r="B68" s="217"/>
      <c r="C68" s="237"/>
      <c r="D68" s="233"/>
      <c r="E68" s="222"/>
    </row>
    <row r="69" spans="2:4" ht="18">
      <c r="B69" s="217" t="s">
        <v>557</v>
      </c>
      <c r="C69" s="239"/>
      <c r="D69" s="217"/>
    </row>
    <row r="70" spans="2:4" ht="18">
      <c r="B70" s="219" t="str">
        <f>MD!E50</f>
        <v>ABC</v>
      </c>
      <c r="C70" s="220"/>
      <c r="D70" s="191"/>
    </row>
    <row r="71" spans="2:4" ht="17.25">
      <c r="B71" s="131" t="s">
        <v>558</v>
      </c>
      <c r="C71" s="109"/>
      <c r="D71" s="221" t="str">
        <f>B70</f>
        <v>ABC</v>
      </c>
    </row>
    <row r="72" spans="2:4" ht="18">
      <c r="B72" s="224" t="s">
        <v>515</v>
      </c>
      <c r="C72" s="225"/>
      <c r="D72" s="226"/>
    </row>
    <row r="73" spans="2:7" ht="18">
      <c r="B73" s="227"/>
      <c r="C73" s="228"/>
      <c r="D73" s="229" t="s">
        <v>559</v>
      </c>
      <c r="E73" s="118"/>
      <c r="F73" s="230" t="str">
        <f>D71</f>
        <v>ABC</v>
      </c>
      <c r="G73" s="231" t="s">
        <v>560</v>
      </c>
    </row>
    <row r="74" spans="2:4" ht="18">
      <c r="B74" s="233" t="s">
        <v>561</v>
      </c>
      <c r="C74" s="228"/>
      <c r="D74" s="226" t="s">
        <v>562</v>
      </c>
    </row>
    <row r="75" spans="2:4" ht="18">
      <c r="B75" s="219" t="str">
        <f>MD!E43</f>
        <v>TTS</v>
      </c>
      <c r="C75" s="220"/>
      <c r="D75" s="234"/>
    </row>
    <row r="76" spans="2:4" ht="17.25">
      <c r="B76" s="131" t="s">
        <v>563</v>
      </c>
      <c r="C76" s="109"/>
      <c r="D76" s="235" t="str">
        <f>B75</f>
        <v>TTS</v>
      </c>
    </row>
    <row r="77" spans="2:4" ht="18">
      <c r="B77" s="224" t="s">
        <v>515</v>
      </c>
      <c r="C77" s="225"/>
      <c r="D77" s="227"/>
    </row>
    <row r="78" spans="3:4" ht="18">
      <c r="C78" s="240"/>
      <c r="D78" s="191"/>
    </row>
    <row r="79" spans="2:4" ht="18">
      <c r="B79" s="217" t="s">
        <v>564</v>
      </c>
      <c r="C79" s="239"/>
      <c r="D79" s="217"/>
    </row>
    <row r="80" spans="2:4" ht="18">
      <c r="B80" s="219" t="str">
        <f>MD!E41</f>
        <v>仁仔</v>
      </c>
      <c r="C80" s="220"/>
      <c r="D80" s="191"/>
    </row>
    <row r="81" spans="2:4" ht="17.25">
      <c r="B81" s="131" t="s">
        <v>565</v>
      </c>
      <c r="C81" s="109"/>
      <c r="D81" s="221" t="str">
        <f>B80</f>
        <v>仁仔</v>
      </c>
    </row>
    <row r="82" spans="2:4" ht="18">
      <c r="B82" s="224" t="s">
        <v>515</v>
      </c>
      <c r="C82" s="225"/>
      <c r="D82" s="226"/>
    </row>
    <row r="83" spans="2:7" ht="18">
      <c r="B83" s="227"/>
      <c r="C83" s="228"/>
      <c r="D83" s="229" t="s">
        <v>566</v>
      </c>
      <c r="E83" s="118"/>
      <c r="F83" s="230" t="str">
        <f>D81</f>
        <v>仁仔</v>
      </c>
      <c r="G83" s="231" t="s">
        <v>567</v>
      </c>
    </row>
    <row r="84" spans="2:4" ht="18">
      <c r="B84" s="233" t="s">
        <v>568</v>
      </c>
      <c r="C84" s="228"/>
      <c r="D84" s="226" t="s">
        <v>569</v>
      </c>
    </row>
    <row r="85" spans="2:4" ht="18">
      <c r="B85" s="219" t="str">
        <f>MD!E47</f>
        <v>起勢隊</v>
      </c>
      <c r="C85" s="220"/>
      <c r="D85" s="234"/>
    </row>
    <row r="86" spans="2:4" ht="17.25">
      <c r="B86" s="131" t="s">
        <v>570</v>
      </c>
      <c r="C86" s="109"/>
      <c r="D86" s="235" t="str">
        <f>B85</f>
        <v>起勢隊</v>
      </c>
    </row>
    <row r="87" spans="2:4" ht="18">
      <c r="B87" s="224" t="s">
        <v>515</v>
      </c>
      <c r="C87" s="225"/>
      <c r="D87" s="227"/>
    </row>
    <row r="88" spans="2:5" ht="18">
      <c r="B88" s="217"/>
      <c r="C88" s="237"/>
      <c r="D88" s="233"/>
      <c r="E88" s="222"/>
    </row>
    <row r="89" spans="2:4" ht="18">
      <c r="B89" s="217" t="s">
        <v>571</v>
      </c>
      <c r="C89" s="239"/>
      <c r="D89" s="217"/>
    </row>
    <row r="90" spans="2:4" ht="18">
      <c r="B90" s="219" t="str">
        <f>MD!E45</f>
        <v>赤殷</v>
      </c>
      <c r="C90" s="220"/>
      <c r="D90" s="191"/>
    </row>
    <row r="91" spans="2:4" ht="17.25">
      <c r="B91" s="131"/>
      <c r="C91" s="109" t="s">
        <v>572</v>
      </c>
      <c r="D91" s="221" t="str">
        <f>B90</f>
        <v>赤殷</v>
      </c>
    </row>
    <row r="92" spans="2:4" ht="17.25">
      <c r="B92" s="131" t="s">
        <v>573</v>
      </c>
      <c r="C92" s="122" t="s">
        <v>574</v>
      </c>
      <c r="D92" s="226"/>
    </row>
    <row r="93" spans="2:4" ht="18">
      <c r="B93" s="221" t="str">
        <f>MD!E49</f>
        <v>魔性澎拜</v>
      </c>
      <c r="C93" s="225"/>
      <c r="D93" s="226"/>
    </row>
    <row r="94" spans="2:7" ht="18">
      <c r="B94" s="227"/>
      <c r="C94" s="228"/>
      <c r="D94" s="229" t="s">
        <v>575</v>
      </c>
      <c r="E94" s="118"/>
      <c r="F94" s="230" t="str">
        <f>D97</f>
        <v>隨心96ers</v>
      </c>
      <c r="G94" s="231" t="s">
        <v>576</v>
      </c>
    </row>
    <row r="95" spans="2:4" ht="18">
      <c r="B95" s="233" t="s">
        <v>577</v>
      </c>
      <c r="C95" s="228"/>
      <c r="D95" s="226" t="s">
        <v>578</v>
      </c>
    </row>
    <row r="96" spans="2:4" ht="18">
      <c r="B96" s="219" t="str">
        <f>MD!E38</f>
        <v>隨心96ers</v>
      </c>
      <c r="C96" s="220"/>
      <c r="D96" s="234"/>
    </row>
    <row r="97" spans="2:4" ht="17.25">
      <c r="B97" s="131" t="s">
        <v>579</v>
      </c>
      <c r="C97" s="109"/>
      <c r="D97" s="235" t="str">
        <f>B96</f>
        <v>隨心96ers</v>
      </c>
    </row>
    <row r="98" spans="2:4" ht="18">
      <c r="B98" s="224" t="s">
        <v>515</v>
      </c>
      <c r="C98" s="225"/>
      <c r="D98" s="227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="70" zoomScaleNormal="70" zoomScalePageLayoutView="0" workbookViewId="0" topLeftCell="A78">
      <selection activeCell="G111" sqref="G111:G117"/>
    </sheetView>
  </sheetViews>
  <sheetFormatPr defaultColWidth="7.69921875" defaultRowHeight="15"/>
  <cols>
    <col min="1" max="1" width="15.796875" style="96" customWidth="1"/>
    <col min="2" max="2" width="15.796875" style="191" customWidth="1"/>
    <col min="3" max="3" width="15.796875" style="96" customWidth="1"/>
    <col min="4" max="4" width="15.796875" style="107" customWidth="1"/>
    <col min="5" max="5" width="15.796875" style="96" customWidth="1"/>
    <col min="6" max="6" width="15.796875" style="107" customWidth="1"/>
    <col min="7" max="7" width="15.796875" style="96" customWidth="1"/>
    <col min="8" max="8" width="15.796875" style="107" customWidth="1"/>
    <col min="9" max="9" width="15.796875" style="96" customWidth="1"/>
    <col min="10" max="10" width="15.796875" style="602" customWidth="1"/>
    <col min="11" max="15" width="11" style="96" customWidth="1"/>
    <col min="16" max="16" width="11.796875" style="96" customWidth="1"/>
    <col min="17" max="16384" width="7.69921875" style="96" customWidth="1"/>
  </cols>
  <sheetData>
    <row r="1" spans="2:5" ht="17.25">
      <c r="B1" s="242" t="s">
        <v>458</v>
      </c>
      <c r="C1" s="98"/>
      <c r="D1" s="193"/>
      <c r="E1" s="99"/>
    </row>
    <row r="2" spans="2:5" ht="17.25">
      <c r="B2" s="243"/>
      <c r="C2" s="98"/>
      <c r="D2" s="193"/>
      <c r="E2" s="99"/>
    </row>
    <row r="3" spans="2:5" ht="17.25">
      <c r="B3" s="242" t="s">
        <v>367</v>
      </c>
      <c r="C3" s="98"/>
      <c r="D3" s="193"/>
      <c r="E3" s="99"/>
    </row>
    <row r="4" spans="2:5" ht="17.25">
      <c r="B4" s="242" t="s">
        <v>368</v>
      </c>
      <c r="C4" s="98"/>
      <c r="D4" s="193"/>
      <c r="E4" s="99"/>
    </row>
    <row r="5" spans="2:5" ht="17.25">
      <c r="B5" s="242" t="s">
        <v>580</v>
      </c>
      <c r="C5" s="98"/>
      <c r="D5" s="193"/>
      <c r="E5" s="99"/>
    </row>
    <row r="6" spans="2:5" ht="17.25">
      <c r="B6" s="244" t="s">
        <v>581</v>
      </c>
      <c r="C6" s="98"/>
      <c r="D6" s="193"/>
      <c r="E6" s="99"/>
    </row>
    <row r="7" spans="2:5" ht="17.25">
      <c r="B7" s="245" t="s">
        <v>582</v>
      </c>
      <c r="C7" s="98"/>
      <c r="D7" s="193"/>
      <c r="E7" s="99"/>
    </row>
    <row r="8" spans="2:9" ht="17.25">
      <c r="B8" s="195"/>
      <c r="C8" s="246"/>
      <c r="D8" s="196"/>
      <c r="E8" s="197"/>
      <c r="F8" s="215"/>
      <c r="G8" s="198"/>
      <c r="H8" s="215"/>
      <c r="I8" s="198"/>
    </row>
    <row r="9" spans="2:18" ht="17.25">
      <c r="B9" s="199" t="s">
        <v>423</v>
      </c>
      <c r="C9" s="199" t="s">
        <v>460</v>
      </c>
      <c r="D9" s="199" t="s">
        <v>461</v>
      </c>
      <c r="E9" s="199" t="s">
        <v>462</v>
      </c>
      <c r="F9" s="199" t="s">
        <v>463</v>
      </c>
      <c r="G9" s="199" t="s">
        <v>464</v>
      </c>
      <c r="H9" s="199" t="s">
        <v>465</v>
      </c>
      <c r="I9" s="199" t="s">
        <v>466</v>
      </c>
      <c r="K9" s="107"/>
      <c r="P9" s="107"/>
      <c r="Q9" s="107"/>
      <c r="R9" s="107"/>
    </row>
    <row r="10" spans="2:9" ht="17.25">
      <c r="B10" s="200" t="s">
        <v>467</v>
      </c>
      <c r="C10" s="200" t="s">
        <v>468</v>
      </c>
      <c r="D10" s="200" t="s">
        <v>469</v>
      </c>
      <c r="E10" s="200" t="s">
        <v>470</v>
      </c>
      <c r="F10" s="200" t="s">
        <v>471</v>
      </c>
      <c r="G10" s="200" t="s">
        <v>472</v>
      </c>
      <c r="H10" s="200" t="s">
        <v>473</v>
      </c>
      <c r="I10" s="200" t="s">
        <v>474</v>
      </c>
    </row>
    <row r="11" spans="2:9" ht="17.25">
      <c r="B11" s="200" t="s">
        <v>475</v>
      </c>
      <c r="C11" s="200" t="s">
        <v>476</v>
      </c>
      <c r="D11" s="200" t="s">
        <v>477</v>
      </c>
      <c r="E11" s="200" t="s">
        <v>478</v>
      </c>
      <c r="F11" s="200" t="s">
        <v>479</v>
      </c>
      <c r="G11" s="200" t="s">
        <v>480</v>
      </c>
      <c r="H11" s="200" t="s">
        <v>481</v>
      </c>
      <c r="I11" s="200" t="s">
        <v>482</v>
      </c>
    </row>
    <row r="12" spans="2:9" ht="17.25">
      <c r="B12" s="201" t="s">
        <v>483</v>
      </c>
      <c r="C12" s="201" t="s">
        <v>484</v>
      </c>
      <c r="D12" s="201" t="s">
        <v>485</v>
      </c>
      <c r="E12" s="201" t="s">
        <v>486</v>
      </c>
      <c r="F12" s="201" t="s">
        <v>487</v>
      </c>
      <c r="G12" s="201" t="s">
        <v>488</v>
      </c>
      <c r="H12" s="201" t="s">
        <v>489</v>
      </c>
      <c r="I12" s="201" t="s">
        <v>490</v>
      </c>
    </row>
    <row r="13" spans="2:9" ht="17.25">
      <c r="B13" s="247" t="s">
        <v>491</v>
      </c>
      <c r="C13" s="248" t="s">
        <v>492</v>
      </c>
      <c r="D13" s="248" t="s">
        <v>493</v>
      </c>
      <c r="E13" s="248" t="s">
        <v>494</v>
      </c>
      <c r="F13" s="248" t="s">
        <v>495</v>
      </c>
      <c r="G13" s="248" t="s">
        <v>496</v>
      </c>
      <c r="H13" s="248" t="s">
        <v>497</v>
      </c>
      <c r="I13" s="249" t="s">
        <v>498</v>
      </c>
    </row>
    <row r="14" spans="2:9" ht="17.25">
      <c r="B14" s="250" t="s">
        <v>499</v>
      </c>
      <c r="C14" s="251" t="s">
        <v>500</v>
      </c>
      <c r="D14" s="251" t="s">
        <v>501</v>
      </c>
      <c r="E14" s="251" t="s">
        <v>502</v>
      </c>
      <c r="F14" s="251" t="s">
        <v>503</v>
      </c>
      <c r="G14" s="251" t="s">
        <v>504</v>
      </c>
      <c r="H14" s="251" t="s">
        <v>505</v>
      </c>
      <c r="I14" s="252" t="s">
        <v>506</v>
      </c>
    </row>
    <row r="15" spans="2:9" ht="17.25">
      <c r="B15" s="253"/>
      <c r="C15" s="254"/>
      <c r="D15" s="255"/>
      <c r="E15" s="256" t="s">
        <v>507</v>
      </c>
      <c r="F15" s="256" t="s">
        <v>508</v>
      </c>
      <c r="G15" s="256" t="s">
        <v>509</v>
      </c>
      <c r="H15" s="256" t="s">
        <v>510</v>
      </c>
      <c r="I15" s="257" t="s">
        <v>511</v>
      </c>
    </row>
    <row r="16" spans="2:4" ht="17.25">
      <c r="B16" s="213"/>
      <c r="D16" s="96"/>
    </row>
    <row r="17" spans="2:4" ht="17.25">
      <c r="B17" s="258"/>
      <c r="D17" s="96"/>
    </row>
    <row r="18" spans="2:7" ht="17.25">
      <c r="B18" s="259" t="s">
        <v>583</v>
      </c>
      <c r="C18" s="198"/>
      <c r="D18" s="215"/>
      <c r="E18" s="198"/>
      <c r="F18" s="215"/>
      <c r="G18" s="198"/>
    </row>
    <row r="19" spans="2:7" ht="17.25">
      <c r="B19" s="259" t="s">
        <v>584</v>
      </c>
      <c r="C19" s="198"/>
      <c r="D19" s="215"/>
      <c r="E19" s="198"/>
      <c r="F19" s="215"/>
      <c r="G19" s="198"/>
    </row>
    <row r="20" spans="2:7" ht="17.25">
      <c r="B20" s="259" t="s">
        <v>585</v>
      </c>
      <c r="C20" s="198"/>
      <c r="D20" s="215"/>
      <c r="E20" s="198"/>
      <c r="F20" s="215"/>
      <c r="G20" s="198"/>
    </row>
    <row r="21" spans="2:7" ht="17.25">
      <c r="B21" s="214"/>
      <c r="C21" s="198"/>
      <c r="D21" s="215"/>
      <c r="E21" s="198"/>
      <c r="F21" s="215"/>
      <c r="G21" s="198"/>
    </row>
    <row r="22" spans="2:4" ht="17.25">
      <c r="B22" s="242" t="s">
        <v>586</v>
      </c>
      <c r="D22" s="96"/>
    </row>
    <row r="23" ht="17.25">
      <c r="D23" s="96"/>
    </row>
    <row r="24" spans="2:4" ht="17.25">
      <c r="B24" s="235" t="str">
        <f>'男乙賽程'!R7</f>
        <v>SKTL</v>
      </c>
      <c r="C24" s="260" t="s">
        <v>117</v>
      </c>
      <c r="D24" s="96"/>
    </row>
    <row r="25" spans="3:4" ht="17.25">
      <c r="C25" s="261" t="s">
        <v>587</v>
      </c>
      <c r="D25" s="120"/>
    </row>
    <row r="26" spans="3:12" ht="18">
      <c r="C26" s="111" t="s">
        <v>1198</v>
      </c>
      <c r="D26" s="263" t="str">
        <f>B24</f>
        <v>SKTL</v>
      </c>
      <c r="E26" s="222"/>
      <c r="F26" s="227"/>
      <c r="G26" s="223"/>
      <c r="H26" s="227"/>
      <c r="I26" s="223"/>
      <c r="L26" s="232"/>
    </row>
    <row r="27" spans="2:15" ht="17.25">
      <c r="B27" s="235" t="s">
        <v>167</v>
      </c>
      <c r="C27" s="271" t="s">
        <v>172</v>
      </c>
      <c r="D27" s="261"/>
      <c r="E27" s="264"/>
      <c r="F27" s="227"/>
      <c r="G27" s="223"/>
      <c r="H27" s="227"/>
      <c r="I27" s="223"/>
      <c r="M27" s="222"/>
      <c r="N27" s="222"/>
      <c r="O27" s="223"/>
    </row>
    <row r="28" spans="4:15" ht="17.25">
      <c r="D28" s="261" t="s">
        <v>588</v>
      </c>
      <c r="E28" s="223"/>
      <c r="F28" s="582" t="str">
        <f>D26</f>
        <v>SKTL</v>
      </c>
      <c r="G28" s="223"/>
      <c r="H28" s="227"/>
      <c r="I28" s="223"/>
      <c r="M28" s="222"/>
      <c r="N28" s="222"/>
      <c r="O28" s="223"/>
    </row>
    <row r="29" spans="2:15" ht="18">
      <c r="B29" s="265"/>
      <c r="D29" s="111" t="s">
        <v>1203</v>
      </c>
      <c r="E29" s="223"/>
      <c r="F29" s="226"/>
      <c r="G29" s="223"/>
      <c r="H29" s="227"/>
      <c r="I29" s="223"/>
      <c r="M29" s="232"/>
      <c r="N29" s="223"/>
      <c r="O29" s="223"/>
    </row>
    <row r="30" spans="2:15" ht="18">
      <c r="B30" s="235" t="s">
        <v>277</v>
      </c>
      <c r="C30" s="260" t="s">
        <v>203</v>
      </c>
      <c r="D30" s="266"/>
      <c r="E30" s="222"/>
      <c r="F30" s="226"/>
      <c r="G30" s="267"/>
      <c r="H30" s="227"/>
      <c r="I30" s="223"/>
      <c r="M30" s="232"/>
      <c r="N30" s="223"/>
      <c r="O30" s="223"/>
    </row>
    <row r="31" spans="2:15" ht="18">
      <c r="B31" s="268"/>
      <c r="C31" s="261" t="s">
        <v>589</v>
      </c>
      <c r="D31" s="269" t="str">
        <f>B33</f>
        <v>Alps 大埔</v>
      </c>
      <c r="E31" s="270"/>
      <c r="F31" s="226"/>
      <c r="G31" s="267"/>
      <c r="H31" s="227"/>
      <c r="I31" s="223"/>
      <c r="M31" s="222"/>
      <c r="N31" s="222"/>
      <c r="O31" s="223"/>
    </row>
    <row r="32" spans="3:15" ht="18">
      <c r="C32" s="111" t="s">
        <v>1202</v>
      </c>
      <c r="D32" s="222"/>
      <c r="E32" s="222"/>
      <c r="F32" s="226"/>
      <c r="G32" s="267"/>
      <c r="H32" s="227"/>
      <c r="I32" s="223"/>
      <c r="L32" s="232"/>
      <c r="M32" s="222"/>
      <c r="N32" s="270"/>
      <c r="O32" s="223"/>
    </row>
    <row r="33" spans="2:15" ht="18">
      <c r="B33" s="235" t="str">
        <f>'男乙賽程'!Z25</f>
        <v>Alps 大埔</v>
      </c>
      <c r="C33" s="271" t="s">
        <v>160</v>
      </c>
      <c r="D33" s="222"/>
      <c r="E33" s="232"/>
      <c r="F33" s="261" t="s">
        <v>590</v>
      </c>
      <c r="G33" s="232"/>
      <c r="H33" s="227"/>
      <c r="I33" s="223"/>
      <c r="M33" s="222"/>
      <c r="N33" s="222"/>
      <c r="O33" s="223"/>
    </row>
    <row r="34" spans="4:15" ht="18">
      <c r="D34" s="222"/>
      <c r="E34" s="222"/>
      <c r="F34" s="111" t="s">
        <v>1219</v>
      </c>
      <c r="G34" s="272"/>
      <c r="H34" s="598" t="str">
        <f>F28</f>
        <v>SKTL</v>
      </c>
      <c r="M34" s="222"/>
      <c r="N34" s="232"/>
      <c r="O34" s="232"/>
    </row>
    <row r="35" spans="2:15" ht="18">
      <c r="B35" s="265"/>
      <c r="C35" s="136"/>
      <c r="D35" s="222"/>
      <c r="E35" s="222"/>
      <c r="F35" s="226"/>
      <c r="H35" s="241"/>
      <c r="M35" s="222"/>
      <c r="N35" s="222"/>
      <c r="O35" s="223"/>
    </row>
    <row r="36" spans="2:15" ht="18">
      <c r="B36" s="234" t="str">
        <f>'男乙賽程'!R19</f>
        <v>Ivan &amp; Pak</v>
      </c>
      <c r="C36" s="260" t="s">
        <v>141</v>
      </c>
      <c r="D36" s="232"/>
      <c r="E36" s="223"/>
      <c r="F36" s="226"/>
      <c r="H36" s="241"/>
      <c r="M36" s="222"/>
      <c r="N36" s="222"/>
      <c r="O36" s="223"/>
    </row>
    <row r="37" spans="3:15" ht="17.25">
      <c r="C37" s="261" t="s">
        <v>591</v>
      </c>
      <c r="D37" s="273"/>
      <c r="E37" s="223"/>
      <c r="F37" s="226"/>
      <c r="H37" s="241"/>
      <c r="M37" s="222"/>
      <c r="N37" s="222"/>
      <c r="O37" s="223"/>
    </row>
    <row r="38" spans="3:15" ht="18">
      <c r="C38" s="241" t="s">
        <v>892</v>
      </c>
      <c r="D38" s="274"/>
      <c r="E38" s="222"/>
      <c r="F38" s="226"/>
      <c r="H38" s="241"/>
      <c r="M38" s="232"/>
      <c r="N38" s="223"/>
      <c r="O38" s="223"/>
    </row>
    <row r="39" spans="2:15" ht="18">
      <c r="B39" s="235" t="s">
        <v>221</v>
      </c>
      <c r="C39" s="271" t="s">
        <v>197</v>
      </c>
      <c r="D39" s="263" t="str">
        <f>B36</f>
        <v>Ivan &amp; Pak</v>
      </c>
      <c r="E39" s="222"/>
      <c r="F39" s="226"/>
      <c r="H39" s="241"/>
      <c r="I39" s="223"/>
      <c r="L39" s="232"/>
      <c r="M39" s="222"/>
      <c r="N39" s="222"/>
      <c r="O39" s="223"/>
    </row>
    <row r="40" spans="4:15" ht="17.25">
      <c r="D40" s="261"/>
      <c r="E40" s="275"/>
      <c r="F40" s="582" t="str">
        <f>D39</f>
        <v>Ivan &amp; Pak</v>
      </c>
      <c r="G40" s="267"/>
      <c r="H40" s="226"/>
      <c r="I40" s="223"/>
      <c r="M40" s="222"/>
      <c r="N40" s="222"/>
      <c r="O40" s="223"/>
    </row>
    <row r="41" spans="4:15" ht="18">
      <c r="D41" s="261" t="s">
        <v>592</v>
      </c>
      <c r="E41" s="222"/>
      <c r="F41" s="227"/>
      <c r="G41" s="223"/>
      <c r="H41" s="226"/>
      <c r="I41" s="223"/>
      <c r="M41" s="232"/>
      <c r="N41" s="222"/>
      <c r="O41" s="223"/>
    </row>
    <row r="42" spans="3:15" ht="17.25">
      <c r="C42" s="104"/>
      <c r="D42" s="266" t="s">
        <v>1204</v>
      </c>
      <c r="E42" s="222"/>
      <c r="F42" s="227"/>
      <c r="G42" s="223"/>
      <c r="H42" s="226"/>
      <c r="I42" s="223"/>
      <c r="M42" s="222"/>
      <c r="N42" s="222"/>
      <c r="O42" s="223"/>
    </row>
    <row r="43" spans="2:15" ht="17.25">
      <c r="B43" s="235" t="s">
        <v>142</v>
      </c>
      <c r="C43" s="260" t="s">
        <v>179</v>
      </c>
      <c r="D43" s="266"/>
      <c r="E43" s="222"/>
      <c r="F43" s="227"/>
      <c r="G43" s="223"/>
      <c r="H43" s="226"/>
      <c r="I43" s="223"/>
      <c r="M43" s="222"/>
      <c r="N43" s="222"/>
      <c r="O43" s="223"/>
    </row>
    <row r="44" spans="3:15" ht="17.25">
      <c r="C44" s="261" t="s">
        <v>593</v>
      </c>
      <c r="D44" s="263" t="str">
        <f>B46</f>
        <v>BallMing</v>
      </c>
      <c r="E44" s="222"/>
      <c r="F44" s="227"/>
      <c r="G44" s="223"/>
      <c r="H44" s="226"/>
      <c r="I44" s="223"/>
      <c r="M44" s="222"/>
      <c r="N44" s="222"/>
      <c r="O44" s="223"/>
    </row>
    <row r="45" spans="3:15" ht="15.75" customHeight="1">
      <c r="C45" s="111" t="s">
        <v>1201</v>
      </c>
      <c r="D45" s="222"/>
      <c r="E45" s="222"/>
      <c r="F45" s="227"/>
      <c r="G45" s="223"/>
      <c r="H45" s="226"/>
      <c r="I45" s="223"/>
      <c r="J45" s="605"/>
      <c r="L45" s="232"/>
      <c r="M45" s="222"/>
      <c r="N45" s="222"/>
      <c r="O45" s="223"/>
    </row>
    <row r="46" spans="2:15" ht="15.75" customHeight="1">
      <c r="B46" s="235" t="str">
        <f>'男乙賽程'!Z13</f>
        <v>BallMing</v>
      </c>
      <c r="C46" s="271" t="s">
        <v>135</v>
      </c>
      <c r="D46" s="232"/>
      <c r="E46" s="223"/>
      <c r="F46" s="227"/>
      <c r="H46" s="614" t="s">
        <v>594</v>
      </c>
      <c r="I46" s="612"/>
      <c r="J46" s="606" t="str">
        <f>H58</f>
        <v>SBDW</v>
      </c>
      <c r="K46" s="115"/>
      <c r="M46" s="222"/>
      <c r="N46" s="222"/>
      <c r="O46" s="223"/>
    </row>
    <row r="47" spans="4:15" ht="18">
      <c r="D47" s="222"/>
      <c r="E47" s="222"/>
      <c r="F47" s="227"/>
      <c r="H47" s="615" t="s">
        <v>385</v>
      </c>
      <c r="I47" s="277"/>
      <c r="J47" s="607"/>
      <c r="M47" s="232"/>
      <c r="N47" s="223"/>
      <c r="O47" s="223"/>
    </row>
    <row r="48" spans="3:15" ht="18">
      <c r="C48" s="136"/>
      <c r="D48" s="222"/>
      <c r="E48" s="270"/>
      <c r="F48" s="227"/>
      <c r="G48" s="278"/>
      <c r="H48" s="226" t="s">
        <v>1220</v>
      </c>
      <c r="I48" s="278"/>
      <c r="M48" s="222"/>
      <c r="N48" s="222"/>
      <c r="O48" s="223"/>
    </row>
    <row r="49" spans="2:15" ht="18">
      <c r="B49" s="235" t="str">
        <f>'男乙賽程'!R13</f>
        <v>ALPS HandShake</v>
      </c>
      <c r="C49" s="260" t="s">
        <v>129</v>
      </c>
      <c r="D49" s="96"/>
      <c r="G49" s="223"/>
      <c r="H49" s="226"/>
      <c r="I49" s="223"/>
      <c r="M49" s="222"/>
      <c r="N49" s="270"/>
      <c r="O49" s="223"/>
    </row>
    <row r="50" spans="3:9" ht="17.25">
      <c r="C50" s="261" t="s">
        <v>595</v>
      </c>
      <c r="D50" s="96"/>
      <c r="G50" s="223"/>
      <c r="H50" s="226"/>
      <c r="I50" s="223"/>
    </row>
    <row r="51" spans="3:12" ht="18">
      <c r="C51" s="111" t="s">
        <v>1197</v>
      </c>
      <c r="D51" s="263" t="str">
        <f>B49</f>
        <v>ALPS HandShake</v>
      </c>
      <c r="E51" s="222"/>
      <c r="F51" s="227"/>
      <c r="G51" s="223"/>
      <c r="H51" s="226"/>
      <c r="I51" s="223"/>
      <c r="L51" s="232"/>
    </row>
    <row r="52" spans="2:15" ht="17.25">
      <c r="B52" s="235" t="s">
        <v>204</v>
      </c>
      <c r="C52" s="271" t="s">
        <v>209</v>
      </c>
      <c r="D52" s="266"/>
      <c r="E52" s="264"/>
      <c r="F52" s="227"/>
      <c r="G52" s="223"/>
      <c r="H52" s="226"/>
      <c r="I52" s="223"/>
      <c r="M52" s="222"/>
      <c r="N52" s="222"/>
      <c r="O52" s="223"/>
    </row>
    <row r="53" spans="4:15" ht="17.25">
      <c r="D53" s="261" t="s">
        <v>596</v>
      </c>
      <c r="E53" s="223"/>
      <c r="F53" s="582" t="str">
        <f>D51</f>
        <v>ALPS HandShake</v>
      </c>
      <c r="G53" s="223"/>
      <c r="H53" s="226"/>
      <c r="I53" s="223"/>
      <c r="M53" s="222"/>
      <c r="N53" s="222"/>
      <c r="O53" s="223"/>
    </row>
    <row r="54" spans="4:15" ht="18">
      <c r="D54" s="585" t="s">
        <v>815</v>
      </c>
      <c r="E54" s="223"/>
      <c r="F54" s="226"/>
      <c r="G54" s="223"/>
      <c r="H54" s="226"/>
      <c r="I54" s="223"/>
      <c r="M54" s="232"/>
      <c r="N54" s="223"/>
      <c r="O54" s="223"/>
    </row>
    <row r="55" spans="2:15" ht="18">
      <c r="B55" s="235" t="s">
        <v>180</v>
      </c>
      <c r="C55" s="260" t="s">
        <v>185</v>
      </c>
      <c r="D55" s="262"/>
      <c r="E55" s="222"/>
      <c r="F55" s="226"/>
      <c r="G55" s="279"/>
      <c r="H55" s="226"/>
      <c r="I55" s="223"/>
      <c r="M55" s="232"/>
      <c r="N55" s="223"/>
      <c r="O55" s="223"/>
    </row>
    <row r="56" spans="3:15" ht="18">
      <c r="C56" s="261" t="s">
        <v>597</v>
      </c>
      <c r="D56" s="263" t="str">
        <f>B58</f>
        <v>SCAA L&amp;M</v>
      </c>
      <c r="E56" s="270"/>
      <c r="F56" s="226"/>
      <c r="G56" s="222"/>
      <c r="H56" s="226"/>
      <c r="I56" s="223"/>
      <c r="M56" s="222"/>
      <c r="N56" s="222"/>
      <c r="O56" s="223"/>
    </row>
    <row r="57" spans="2:15" ht="18">
      <c r="B57" s="227"/>
      <c r="C57" s="111" t="s">
        <v>1200</v>
      </c>
      <c r="D57" s="222"/>
      <c r="E57" s="222"/>
      <c r="F57" s="226"/>
      <c r="G57" s="222"/>
      <c r="H57" s="226"/>
      <c r="I57" s="223"/>
      <c r="L57" s="232"/>
      <c r="M57" s="222"/>
      <c r="N57" s="270"/>
      <c r="O57" s="223"/>
    </row>
    <row r="58" spans="2:15" ht="18">
      <c r="B58" s="235" t="str">
        <f>'男乙賽程'!Z19</f>
        <v>SCAA L&amp;M</v>
      </c>
      <c r="C58" s="271" t="s">
        <v>147</v>
      </c>
      <c r="D58" s="222"/>
      <c r="E58" s="232"/>
      <c r="F58" s="261" t="s">
        <v>598</v>
      </c>
      <c r="G58" s="118"/>
      <c r="H58" s="599" t="str">
        <f>F64</f>
        <v>SBDW</v>
      </c>
      <c r="I58" s="223"/>
      <c r="M58" s="222"/>
      <c r="N58" s="222"/>
      <c r="O58" s="223"/>
    </row>
    <row r="59" spans="2:15" ht="18">
      <c r="B59" s="227"/>
      <c r="D59" s="222"/>
      <c r="E59" s="222"/>
      <c r="F59" s="111" t="s">
        <v>1218</v>
      </c>
      <c r="I59" s="223"/>
      <c r="K59" s="223"/>
      <c r="M59" s="222"/>
      <c r="N59" s="232"/>
      <c r="O59" s="232"/>
    </row>
    <row r="60" spans="4:15" ht="17.25">
      <c r="D60" s="222"/>
      <c r="E60" s="222"/>
      <c r="F60" s="226"/>
      <c r="I60" s="223"/>
      <c r="M60" s="222"/>
      <c r="N60" s="222"/>
      <c r="O60" s="223"/>
    </row>
    <row r="61" spans="2:15" ht="18">
      <c r="B61" s="235" t="s">
        <v>155</v>
      </c>
      <c r="C61" s="260" t="s">
        <v>166</v>
      </c>
      <c r="D61" s="232"/>
      <c r="E61" s="223"/>
      <c r="F61" s="226"/>
      <c r="I61" s="223"/>
      <c r="K61" s="223"/>
      <c r="M61" s="222"/>
      <c r="N61" s="222"/>
      <c r="O61" s="223"/>
    </row>
    <row r="62" spans="3:15" ht="18">
      <c r="C62" s="261" t="s">
        <v>599</v>
      </c>
      <c r="D62" s="280"/>
      <c r="E62" s="222"/>
      <c r="F62" s="226"/>
      <c r="G62" s="223"/>
      <c r="K62" s="223"/>
      <c r="M62" s="232"/>
      <c r="N62" s="223"/>
      <c r="O62" s="223"/>
    </row>
    <row r="63" spans="1:15" ht="18">
      <c r="A63" s="580"/>
      <c r="B63" s="581"/>
      <c r="C63" s="111" t="s">
        <v>1196</v>
      </c>
      <c r="D63" s="263" t="str">
        <f>B64</f>
        <v>SBDW</v>
      </c>
      <c r="E63" s="222"/>
      <c r="F63" s="226"/>
      <c r="J63" s="608"/>
      <c r="K63" s="223"/>
      <c r="L63" s="232"/>
      <c r="M63" s="222"/>
      <c r="N63" s="222"/>
      <c r="O63" s="223"/>
    </row>
    <row r="64" spans="2:15" ht="17.25">
      <c r="B64" s="235" t="str">
        <f>'男乙賽程'!R25</f>
        <v>SBDW</v>
      </c>
      <c r="C64" s="271" t="s">
        <v>153</v>
      </c>
      <c r="D64" s="261"/>
      <c r="E64" s="275"/>
      <c r="F64" s="582" t="str">
        <f>D63</f>
        <v>SBDW</v>
      </c>
      <c r="H64" s="600" t="str">
        <f>F40</f>
        <v>Ivan &amp; Pak</v>
      </c>
      <c r="I64" s="115"/>
      <c r="J64" s="608"/>
      <c r="M64" s="222"/>
      <c r="N64" s="222"/>
      <c r="O64" s="223"/>
    </row>
    <row r="65" spans="4:15" ht="18">
      <c r="D65" s="261" t="s">
        <v>600</v>
      </c>
      <c r="E65" s="222"/>
      <c r="F65" s="227"/>
      <c r="H65" s="601"/>
      <c r="J65" s="608"/>
      <c r="K65" s="223"/>
      <c r="M65" s="232"/>
      <c r="N65" s="222"/>
      <c r="O65" s="223"/>
    </row>
    <row r="66" spans="2:15" ht="17.25">
      <c r="B66" s="265"/>
      <c r="D66" s="111" t="s">
        <v>1145</v>
      </c>
      <c r="E66" s="222"/>
      <c r="F66" s="227"/>
      <c r="H66" s="614" t="s">
        <v>601</v>
      </c>
      <c r="I66" s="281"/>
      <c r="J66" s="608"/>
      <c r="K66" s="223"/>
      <c r="M66" s="222"/>
      <c r="N66" s="222"/>
      <c r="O66" s="223"/>
    </row>
    <row r="67" spans="2:15" ht="17.25">
      <c r="B67" s="235" t="s">
        <v>130</v>
      </c>
      <c r="C67" s="260" t="s">
        <v>191</v>
      </c>
      <c r="D67" s="266"/>
      <c r="E67" s="222"/>
      <c r="F67" s="227"/>
      <c r="H67" s="615" t="s">
        <v>391</v>
      </c>
      <c r="I67" s="613"/>
      <c r="J67" s="609" t="str">
        <f>H70</f>
        <v>ALPS HandShake</v>
      </c>
      <c r="K67" s="115"/>
      <c r="M67" s="222"/>
      <c r="N67" s="222"/>
      <c r="O67" s="223"/>
    </row>
    <row r="68" spans="2:15" ht="17.25">
      <c r="B68" s="268"/>
      <c r="C68" s="261" t="s">
        <v>602</v>
      </c>
      <c r="D68" s="263" t="str">
        <f>B67</f>
        <v>Alps-Cheap Drink</v>
      </c>
      <c r="E68" s="222"/>
      <c r="F68" s="227"/>
      <c r="H68" s="241" t="s">
        <v>438</v>
      </c>
      <c r="J68" s="608"/>
      <c r="M68" s="222"/>
      <c r="N68" s="222"/>
      <c r="O68" s="223"/>
    </row>
    <row r="69" spans="3:15" ht="18">
      <c r="C69" s="111" t="s">
        <v>1199</v>
      </c>
      <c r="D69" s="222"/>
      <c r="E69" s="222"/>
      <c r="F69" s="227"/>
      <c r="H69" s="241"/>
      <c r="J69" s="608"/>
      <c r="L69" s="232"/>
      <c r="M69" s="222"/>
      <c r="N69" s="222"/>
      <c r="O69" s="223"/>
    </row>
    <row r="70" spans="2:15" ht="18">
      <c r="B70" s="235" t="str">
        <f>'男乙賽程'!Z7</f>
        <v>豬扒廖家勤</v>
      </c>
      <c r="C70" s="271" t="s">
        <v>123</v>
      </c>
      <c r="D70" s="232"/>
      <c r="E70" s="223"/>
      <c r="F70" s="227"/>
      <c r="G70" s="133"/>
      <c r="H70" s="582" t="str">
        <f>F53</f>
        <v>ALPS HandShake</v>
      </c>
      <c r="M70" s="222"/>
      <c r="N70" s="222"/>
      <c r="O70" s="223"/>
    </row>
    <row r="71" spans="11:15" ht="18">
      <c r="K71" s="107"/>
      <c r="M71" s="232"/>
      <c r="N71" s="223"/>
      <c r="O71" s="223"/>
    </row>
    <row r="72" spans="13:14" ht="18">
      <c r="M72" s="222"/>
      <c r="N72" s="284"/>
    </row>
    <row r="73" spans="2:7" ht="17.25">
      <c r="B73" s="235" t="s">
        <v>204</v>
      </c>
      <c r="C73" s="285" t="s">
        <v>209</v>
      </c>
      <c r="E73" s="286" t="s">
        <v>393</v>
      </c>
      <c r="F73" s="584" t="s">
        <v>398</v>
      </c>
      <c r="G73" s="96" t="s">
        <v>148</v>
      </c>
    </row>
    <row r="74" spans="2:7" ht="17.25">
      <c r="B74" s="235" t="s">
        <v>277</v>
      </c>
      <c r="C74" s="285" t="s">
        <v>203</v>
      </c>
      <c r="E74" s="286" t="s">
        <v>395</v>
      </c>
      <c r="F74" s="584" t="s">
        <v>400</v>
      </c>
      <c r="G74" s="96" t="s">
        <v>112</v>
      </c>
    </row>
    <row r="75" spans="2:7" ht="17.25">
      <c r="B75" s="235" t="s">
        <v>221</v>
      </c>
      <c r="C75" s="285" t="s">
        <v>197</v>
      </c>
      <c r="E75" s="286" t="s">
        <v>397</v>
      </c>
      <c r="F75" s="584" t="s">
        <v>403</v>
      </c>
      <c r="G75" s="96" t="s">
        <v>124</v>
      </c>
    </row>
    <row r="76" spans="2:7" ht="17.25">
      <c r="B76" s="235" t="s">
        <v>130</v>
      </c>
      <c r="C76" s="285" t="s">
        <v>191</v>
      </c>
      <c r="E76" s="286" t="s">
        <v>399</v>
      </c>
      <c r="F76" s="584" t="s">
        <v>408</v>
      </c>
      <c r="G76" s="96" t="s">
        <v>136</v>
      </c>
    </row>
    <row r="77" spans="2:7" ht="17.25">
      <c r="B77" s="235" t="s">
        <v>180</v>
      </c>
      <c r="C77" s="285" t="s">
        <v>185</v>
      </c>
      <c r="E77" s="286" t="s">
        <v>402</v>
      </c>
      <c r="F77" s="584" t="s">
        <v>603</v>
      </c>
      <c r="G77" s="96" t="s">
        <v>1172</v>
      </c>
    </row>
    <row r="78" spans="2:7" ht="17.25">
      <c r="B78" s="235" t="s">
        <v>142</v>
      </c>
      <c r="C78" s="285" t="s">
        <v>179</v>
      </c>
      <c r="G78" s="96" t="s">
        <v>294</v>
      </c>
    </row>
    <row r="79" spans="2:7" ht="17.25">
      <c r="B79" s="235" t="s">
        <v>167</v>
      </c>
      <c r="C79" s="221" t="s">
        <v>172</v>
      </c>
      <c r="G79" s="96" t="s">
        <v>130</v>
      </c>
    </row>
    <row r="80" spans="2:9" ht="18">
      <c r="B80" s="235" t="s">
        <v>155</v>
      </c>
      <c r="C80" s="289" t="s">
        <v>166</v>
      </c>
      <c r="D80" s="270"/>
      <c r="G80" s="96" t="s">
        <v>174</v>
      </c>
      <c r="H80" s="227"/>
      <c r="I80" s="223"/>
    </row>
    <row r="81" spans="3:9" ht="18">
      <c r="C81" s="136"/>
      <c r="D81" s="222"/>
      <c r="E81" s="286" t="s">
        <v>604</v>
      </c>
      <c r="F81" s="584" t="s">
        <v>605</v>
      </c>
      <c r="G81" s="96" t="s">
        <v>167</v>
      </c>
      <c r="H81" s="227"/>
      <c r="I81" s="223"/>
    </row>
    <row r="82" spans="3:7" ht="18">
      <c r="C82" s="136"/>
      <c r="D82" s="222"/>
      <c r="G82" s="96" t="s">
        <v>277</v>
      </c>
    </row>
    <row r="83" spans="3:7" ht="18">
      <c r="C83" s="136"/>
      <c r="D83" s="222"/>
      <c r="G83" s="96" t="s">
        <v>221</v>
      </c>
    </row>
    <row r="84" spans="3:7" ht="18">
      <c r="C84" s="136"/>
      <c r="D84" s="232"/>
      <c r="G84" s="96" t="s">
        <v>142</v>
      </c>
    </row>
    <row r="85" spans="3:8" ht="18">
      <c r="C85" s="232"/>
      <c r="D85" s="290"/>
      <c r="G85" s="96" t="s">
        <v>204</v>
      </c>
      <c r="H85" s="110"/>
    </row>
    <row r="86" spans="3:9" ht="18">
      <c r="C86" s="136"/>
      <c r="D86" s="232"/>
      <c r="G86" s="96" t="s">
        <v>180</v>
      </c>
      <c r="H86" s="227"/>
      <c r="I86" s="223"/>
    </row>
    <row r="87" spans="3:9" ht="18">
      <c r="C87" s="136"/>
      <c r="D87" s="232"/>
      <c r="G87" s="96" t="s">
        <v>155</v>
      </c>
      <c r="H87" s="227"/>
      <c r="I87" s="223"/>
    </row>
    <row r="88" spans="3:9" ht="18">
      <c r="C88" s="136"/>
      <c r="D88" s="278"/>
      <c r="G88" s="96" t="s">
        <v>198</v>
      </c>
      <c r="H88" s="227"/>
      <c r="I88" s="223"/>
    </row>
    <row r="89" spans="3:9" ht="18">
      <c r="C89" s="136"/>
      <c r="D89" s="222"/>
      <c r="E89" s="288" t="s">
        <v>606</v>
      </c>
      <c r="F89" s="584" t="s">
        <v>607</v>
      </c>
      <c r="G89" s="96" t="s">
        <v>210</v>
      </c>
      <c r="H89" s="227"/>
      <c r="I89" s="223"/>
    </row>
    <row r="90" spans="3:9" ht="18">
      <c r="C90" s="232"/>
      <c r="D90" s="270"/>
      <c r="G90" s="223" t="s">
        <v>118</v>
      </c>
      <c r="H90" s="227"/>
      <c r="I90" s="223"/>
    </row>
    <row r="91" spans="3:9" ht="18">
      <c r="C91" s="278"/>
      <c r="D91" s="290"/>
      <c r="G91" s="223" t="s">
        <v>192</v>
      </c>
      <c r="H91" s="227"/>
      <c r="I91" s="223"/>
    </row>
    <row r="92" spans="3:10" ht="18">
      <c r="C92" s="136"/>
      <c r="D92" s="232"/>
      <c r="E92" s="222"/>
      <c r="F92" s="284"/>
      <c r="G92" s="578" t="s">
        <v>227</v>
      </c>
      <c r="H92" s="227"/>
      <c r="I92" s="232"/>
      <c r="J92" s="607"/>
    </row>
    <row r="93" spans="3:10" ht="18">
      <c r="C93" s="136"/>
      <c r="D93" s="222"/>
      <c r="E93" s="223"/>
      <c r="F93" s="284"/>
      <c r="G93" s="96" t="s">
        <v>283</v>
      </c>
      <c r="H93" s="270"/>
      <c r="I93" s="222"/>
      <c r="J93" s="607"/>
    </row>
    <row r="94" spans="3:9" ht="18">
      <c r="C94" s="136"/>
      <c r="D94" s="96"/>
      <c r="E94" s="223"/>
      <c r="F94" s="227"/>
      <c r="G94" s="96" t="s">
        <v>346</v>
      </c>
      <c r="H94" s="227"/>
      <c r="I94" s="223"/>
    </row>
    <row r="95" spans="3:9" ht="18">
      <c r="C95" s="232"/>
      <c r="D95" s="291"/>
      <c r="E95" s="222"/>
      <c r="F95" s="227"/>
      <c r="G95" s="96" t="s">
        <v>810</v>
      </c>
      <c r="H95" s="227"/>
      <c r="I95" s="223"/>
    </row>
    <row r="96" spans="3:9" ht="18">
      <c r="C96" s="278"/>
      <c r="D96" s="270"/>
      <c r="E96" s="270"/>
      <c r="F96" s="227"/>
      <c r="G96" s="96" t="s">
        <v>265</v>
      </c>
      <c r="H96" s="227"/>
      <c r="I96" s="223"/>
    </row>
    <row r="97" spans="3:9" ht="18">
      <c r="C97" s="136"/>
      <c r="D97" s="222"/>
      <c r="E97" s="288" t="s">
        <v>608</v>
      </c>
      <c r="F97" s="584" t="s">
        <v>609</v>
      </c>
      <c r="G97" s="223" t="s">
        <v>216</v>
      </c>
      <c r="H97" s="227"/>
      <c r="I97" s="223"/>
    </row>
    <row r="98" spans="3:9" ht="18">
      <c r="C98" s="136"/>
      <c r="D98" s="232"/>
      <c r="E98" s="288"/>
      <c r="F98" s="583"/>
      <c r="G98" s="223" t="s">
        <v>324</v>
      </c>
      <c r="H98" s="227"/>
      <c r="I98" s="223"/>
    </row>
    <row r="99" spans="3:9" ht="18">
      <c r="C99" s="136"/>
      <c r="D99" s="278"/>
      <c r="E99" s="223"/>
      <c r="F99" s="227"/>
      <c r="G99" s="223" t="s">
        <v>186</v>
      </c>
      <c r="H99" s="227"/>
      <c r="I99" s="223"/>
    </row>
    <row r="100" spans="3:13" ht="18">
      <c r="C100" s="232"/>
      <c r="D100" s="270"/>
      <c r="E100" s="222"/>
      <c r="F100" s="227"/>
      <c r="G100" s="223" t="s">
        <v>1160</v>
      </c>
      <c r="H100" s="284"/>
      <c r="I100" s="223"/>
      <c r="J100" s="607"/>
      <c r="K100" s="136"/>
      <c r="L100" s="133"/>
      <c r="M100" s="223"/>
    </row>
    <row r="101" spans="3:13" ht="18">
      <c r="C101" s="278"/>
      <c r="D101" s="290"/>
      <c r="E101" s="222"/>
      <c r="F101" s="227"/>
      <c r="G101" s="223" t="s">
        <v>1159</v>
      </c>
      <c r="H101" s="227"/>
      <c r="I101" s="223"/>
      <c r="J101" s="607"/>
      <c r="K101" s="136"/>
      <c r="L101" s="133"/>
      <c r="M101" s="223"/>
    </row>
    <row r="102" spans="3:13" ht="18">
      <c r="C102" s="136"/>
      <c r="D102" s="222"/>
      <c r="E102" s="222"/>
      <c r="F102" s="284"/>
      <c r="G102" s="96" t="s">
        <v>239</v>
      </c>
      <c r="I102" s="223"/>
      <c r="J102" s="607"/>
      <c r="K102" s="136"/>
      <c r="L102" s="133"/>
      <c r="M102" s="223"/>
    </row>
    <row r="103" spans="2:13" ht="18">
      <c r="B103" s="227"/>
      <c r="C103" s="136"/>
      <c r="D103" s="222"/>
      <c r="E103" s="222"/>
      <c r="F103" s="284"/>
      <c r="G103" s="96" t="s">
        <v>336</v>
      </c>
      <c r="I103" s="223"/>
      <c r="J103" s="607"/>
      <c r="K103" s="136"/>
      <c r="L103" s="133"/>
      <c r="M103" s="223"/>
    </row>
    <row r="104" spans="3:13" ht="18">
      <c r="C104" s="136"/>
      <c r="D104" s="222"/>
      <c r="E104" s="288" t="s">
        <v>610</v>
      </c>
      <c r="F104" s="584" t="s">
        <v>611</v>
      </c>
      <c r="G104" s="576" t="s">
        <v>252</v>
      </c>
      <c r="I104" s="223"/>
      <c r="J104" s="607"/>
      <c r="K104" s="136"/>
      <c r="L104" s="133"/>
      <c r="M104" s="223"/>
    </row>
    <row r="105" spans="3:13" ht="18">
      <c r="C105" s="136"/>
      <c r="D105" s="232"/>
      <c r="E105" s="222"/>
      <c r="F105" s="227"/>
      <c r="G105" s="576" t="s">
        <v>315</v>
      </c>
      <c r="I105" s="223"/>
      <c r="J105" s="607"/>
      <c r="K105" s="136"/>
      <c r="L105" s="133"/>
      <c r="M105" s="223"/>
    </row>
    <row r="106" spans="2:13" ht="18">
      <c r="B106" s="227"/>
      <c r="C106" s="232"/>
      <c r="D106" s="290"/>
      <c r="E106" s="222"/>
      <c r="F106" s="227"/>
      <c r="G106" s="576" t="s">
        <v>360</v>
      </c>
      <c r="J106" s="607"/>
      <c r="K106" s="136"/>
      <c r="L106" s="133"/>
      <c r="M106" s="223"/>
    </row>
    <row r="107" spans="2:11" ht="18">
      <c r="B107" s="227"/>
      <c r="C107" s="278"/>
      <c r="D107" s="270"/>
      <c r="E107" s="223"/>
      <c r="F107" s="227"/>
      <c r="G107" s="576" t="s">
        <v>332</v>
      </c>
      <c r="H107" s="110"/>
      <c r="J107" s="607"/>
      <c r="K107" s="136"/>
    </row>
    <row r="108" spans="3:11" ht="18">
      <c r="C108" s="136"/>
      <c r="D108" s="232"/>
      <c r="G108" s="576" t="s">
        <v>271</v>
      </c>
      <c r="J108" s="607"/>
      <c r="K108" s="136"/>
    </row>
    <row r="109" spans="2:11" ht="18">
      <c r="B109" s="227"/>
      <c r="C109" s="136"/>
      <c r="D109" s="232"/>
      <c r="G109" s="576" t="s">
        <v>289</v>
      </c>
      <c r="J109" s="607"/>
      <c r="K109" s="136"/>
    </row>
    <row r="110" spans="2:11" ht="18">
      <c r="B110" s="227"/>
      <c r="C110" s="136"/>
      <c r="D110" s="278"/>
      <c r="G110" s="394" t="s">
        <v>300</v>
      </c>
      <c r="J110" s="607"/>
      <c r="K110" s="136"/>
    </row>
    <row r="111" spans="3:11" ht="18">
      <c r="C111" s="136"/>
      <c r="D111" s="222"/>
      <c r="G111" s="96" t="s">
        <v>305</v>
      </c>
      <c r="J111" s="607"/>
      <c r="K111" s="136"/>
    </row>
    <row r="112" spans="3:11" ht="18">
      <c r="C112" s="232"/>
      <c r="D112" s="270"/>
      <c r="G112" s="96" t="s">
        <v>342</v>
      </c>
      <c r="J112" s="607"/>
      <c r="K112" s="136"/>
    </row>
    <row r="113" spans="3:11" ht="18">
      <c r="C113" s="278"/>
      <c r="D113" s="290"/>
      <c r="G113" s="96" t="s">
        <v>319</v>
      </c>
      <c r="J113" s="607"/>
      <c r="K113" s="136"/>
    </row>
    <row r="114" spans="2:11" ht="18">
      <c r="B114" s="292"/>
      <c r="C114" s="136"/>
      <c r="D114" s="232"/>
      <c r="G114" s="577" t="s">
        <v>311</v>
      </c>
      <c r="J114" s="607"/>
      <c r="K114" s="136"/>
    </row>
    <row r="115" spans="4:7" ht="17.25">
      <c r="D115" s="96"/>
      <c r="F115" s="584" t="s">
        <v>1187</v>
      </c>
      <c r="G115" s="96" t="s">
        <v>328</v>
      </c>
    </row>
    <row r="116" spans="6:7" ht="17.25">
      <c r="F116" s="584"/>
      <c r="G116" s="280" t="s">
        <v>351</v>
      </c>
    </row>
    <row r="117" ht="17.25">
      <c r="G117" s="96" t="s">
        <v>356</v>
      </c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zoomScale="60" zoomScaleNormal="60" zoomScaleSheetLayoutView="70" zoomScalePageLayoutView="0" workbookViewId="0" topLeftCell="A5">
      <selection activeCell="O53" sqref="O53"/>
    </sheetView>
  </sheetViews>
  <sheetFormatPr defaultColWidth="7.69921875" defaultRowHeight="15"/>
  <cols>
    <col min="1" max="2" width="5.796875" style="352" customWidth="1"/>
    <col min="3" max="4" width="9.796875" style="353" customWidth="1"/>
    <col min="5" max="7" width="5.796875" style="352" customWidth="1"/>
    <col min="8" max="8" width="25.796875" style="352" customWidth="1"/>
    <col min="9" max="9" width="2.796875" style="352" customWidth="1"/>
    <col min="10" max="10" width="25.796875" style="352" customWidth="1"/>
    <col min="11" max="14" width="9.796875" style="353" customWidth="1"/>
    <col min="15" max="15" width="15.796875" style="354" customWidth="1"/>
    <col min="16" max="16" width="5.796875" style="354" customWidth="1"/>
    <col min="17" max="17" width="8.796875" style="352" customWidth="1"/>
    <col min="18" max="18" width="20.796875" style="352" customWidth="1"/>
    <col min="19" max="24" width="5.796875" style="352" customWidth="1"/>
    <col min="25" max="25" width="8.796875" style="352" customWidth="1"/>
    <col min="26" max="26" width="20.796875" style="352" customWidth="1"/>
    <col min="27" max="30" width="5.796875" style="352" customWidth="1"/>
    <col min="31" max="16384" width="7.69921875" style="352" customWidth="1"/>
  </cols>
  <sheetData>
    <row r="1" spans="2:8" ht="24.75">
      <c r="B1" s="355" t="s">
        <v>807</v>
      </c>
      <c r="D1" s="356"/>
      <c r="E1" s="357"/>
      <c r="F1" s="356"/>
      <c r="G1" s="353"/>
      <c r="H1" s="358"/>
    </row>
    <row r="2" spans="2:8" ht="25.5">
      <c r="B2" s="145" t="s">
        <v>808</v>
      </c>
      <c r="D2" s="356"/>
      <c r="E2" s="357"/>
      <c r="F2" s="356"/>
      <c r="G2" s="353"/>
      <c r="H2" s="358"/>
    </row>
    <row r="3" spans="2:14" ht="18.75" customHeight="1">
      <c r="B3" s="139"/>
      <c r="C3" s="146"/>
      <c r="D3" s="146"/>
      <c r="E3" s="146"/>
      <c r="F3" s="359"/>
      <c r="G3" s="147"/>
      <c r="H3" s="616" t="s">
        <v>413</v>
      </c>
      <c r="I3" s="616"/>
      <c r="J3" s="616"/>
      <c r="K3" s="148" t="s">
        <v>414</v>
      </c>
      <c r="L3" s="148" t="s">
        <v>415</v>
      </c>
      <c r="M3" s="148" t="s">
        <v>415</v>
      </c>
      <c r="N3" s="148" t="s">
        <v>414</v>
      </c>
    </row>
    <row r="4" spans="2:14" ht="18.75" customHeight="1">
      <c r="B4" s="139"/>
      <c r="C4" s="152" t="s">
        <v>416</v>
      </c>
      <c r="D4" s="360" t="s">
        <v>422</v>
      </c>
      <c r="E4" s="617" t="s">
        <v>418</v>
      </c>
      <c r="F4" s="617"/>
      <c r="G4" s="617"/>
      <c r="H4" s="156" t="s">
        <v>419</v>
      </c>
      <c r="I4" s="157"/>
      <c r="J4" s="156" t="s">
        <v>420</v>
      </c>
      <c r="K4" s="158"/>
      <c r="L4" s="158"/>
      <c r="M4" s="158"/>
      <c r="N4" s="158"/>
    </row>
    <row r="5" spans="2:14" ht="18.75" customHeight="1">
      <c r="B5" s="139"/>
      <c r="C5" s="361" t="s">
        <v>421</v>
      </c>
      <c r="D5" s="362" t="s">
        <v>809</v>
      </c>
      <c r="E5" s="618" t="s">
        <v>413</v>
      </c>
      <c r="F5" s="618"/>
      <c r="G5" s="618"/>
      <c r="H5" s="163" t="s">
        <v>51</v>
      </c>
      <c r="I5" s="164"/>
      <c r="J5" s="163" t="s">
        <v>51</v>
      </c>
      <c r="K5" s="158"/>
      <c r="L5" s="158"/>
      <c r="M5" s="158"/>
      <c r="N5" s="158"/>
    </row>
    <row r="6" spans="2:30" ht="18.75" customHeight="1">
      <c r="B6" s="363">
        <v>1</v>
      </c>
      <c r="C6" s="364" t="s">
        <v>423</v>
      </c>
      <c r="D6" s="365">
        <v>1</v>
      </c>
      <c r="E6" s="366" t="s">
        <v>117</v>
      </c>
      <c r="F6" s="366" t="s">
        <v>424</v>
      </c>
      <c r="G6" s="366" t="s">
        <v>383</v>
      </c>
      <c r="H6" s="158" t="str">
        <f>VLOOKUP(E6,MD!$C$6:$K$58,3,FALSE)</f>
        <v>SKTL</v>
      </c>
      <c r="I6" s="171" t="s">
        <v>424</v>
      </c>
      <c r="J6" s="158" t="s">
        <v>328</v>
      </c>
      <c r="K6" s="172">
        <v>2</v>
      </c>
      <c r="L6" s="158">
        <f aca="true" t="shared" si="0" ref="L6:L11">21+21</f>
        <v>42</v>
      </c>
      <c r="M6" s="158">
        <v>0</v>
      </c>
      <c r="N6" s="158">
        <v>0</v>
      </c>
      <c r="O6" s="354" t="s">
        <v>1143</v>
      </c>
      <c r="P6" s="367" t="s">
        <v>423</v>
      </c>
      <c r="Q6" s="367" t="s">
        <v>426</v>
      </c>
      <c r="R6" s="367" t="s">
        <v>50</v>
      </c>
      <c r="S6" s="367" t="s">
        <v>427</v>
      </c>
      <c r="T6" s="367" t="s">
        <v>428</v>
      </c>
      <c r="U6" s="367" t="s">
        <v>429</v>
      </c>
      <c r="V6" s="367" t="s">
        <v>61</v>
      </c>
      <c r="W6" s="367"/>
      <c r="X6" s="367" t="s">
        <v>460</v>
      </c>
      <c r="Y6" s="367" t="s">
        <v>426</v>
      </c>
      <c r="Z6" s="367" t="s">
        <v>50</v>
      </c>
      <c r="AA6" s="367" t="s">
        <v>427</v>
      </c>
      <c r="AB6" s="367" t="s">
        <v>428</v>
      </c>
      <c r="AC6" s="367" t="s">
        <v>429</v>
      </c>
      <c r="AD6" s="367" t="s">
        <v>61</v>
      </c>
    </row>
    <row r="7" spans="2:30" ht="18.75" customHeight="1">
      <c r="B7" s="368">
        <v>2</v>
      </c>
      <c r="C7" s="369" t="s">
        <v>423</v>
      </c>
      <c r="D7" s="370">
        <v>2</v>
      </c>
      <c r="E7" s="371" t="s">
        <v>209</v>
      </c>
      <c r="F7" s="371" t="s">
        <v>424</v>
      </c>
      <c r="G7" s="372" t="s">
        <v>215</v>
      </c>
      <c r="H7" s="158" t="str">
        <f>VLOOKUP(E7,MD!$C$6:$K$58,3,FALSE)</f>
        <v>消防處</v>
      </c>
      <c r="I7" s="171" t="s">
        <v>424</v>
      </c>
      <c r="J7" s="158" t="str">
        <f>VLOOKUP(G7,MD!$C$6:$K$58,3,FALSE)</f>
        <v>北極熊</v>
      </c>
      <c r="K7" s="172">
        <v>2</v>
      </c>
      <c r="L7" s="158">
        <f t="shared" si="0"/>
        <v>42</v>
      </c>
      <c r="M7" s="158">
        <f>18+11</f>
        <v>29</v>
      </c>
      <c r="N7" s="158">
        <v>0</v>
      </c>
      <c r="O7" s="354" t="s">
        <v>1145</v>
      </c>
      <c r="P7" s="367"/>
      <c r="Q7" s="373">
        <v>1</v>
      </c>
      <c r="R7" s="373" t="s">
        <v>112</v>
      </c>
      <c r="S7" s="373">
        <v>2</v>
      </c>
      <c r="T7" s="373">
        <v>0</v>
      </c>
      <c r="U7" s="373">
        <v>0</v>
      </c>
      <c r="V7" s="373">
        <f>S7*3+T7*1+U7*0</f>
        <v>6</v>
      </c>
      <c r="W7" s="374"/>
      <c r="X7" s="367"/>
      <c r="Y7" s="373">
        <v>1</v>
      </c>
      <c r="Z7" s="373" t="s">
        <v>198</v>
      </c>
      <c r="AA7" s="373">
        <v>1</v>
      </c>
      <c r="AB7" s="373">
        <v>2</v>
      </c>
      <c r="AC7" s="373">
        <v>0</v>
      </c>
      <c r="AD7" s="373">
        <f>AA7*3+AB7*1+AC7*0</f>
        <v>5</v>
      </c>
    </row>
    <row r="8" spans="2:30" ht="18.75" customHeight="1">
      <c r="B8" s="363">
        <v>3</v>
      </c>
      <c r="C8" s="369" t="s">
        <v>423</v>
      </c>
      <c r="D8" s="370">
        <v>3</v>
      </c>
      <c r="E8" s="371" t="s">
        <v>117</v>
      </c>
      <c r="F8" s="371" t="s">
        <v>424</v>
      </c>
      <c r="G8" s="372" t="s">
        <v>215</v>
      </c>
      <c r="H8" s="158" t="str">
        <f>VLOOKUP(E8,MD!$C$6:$K$58,3,FALSE)</f>
        <v>SKTL</v>
      </c>
      <c r="I8" s="171" t="s">
        <v>424</v>
      </c>
      <c r="J8" s="158" t="str">
        <f>VLOOKUP(G8,MD!$C$6:$K$58,3,FALSE)</f>
        <v>北極熊</v>
      </c>
      <c r="K8" s="172">
        <v>2</v>
      </c>
      <c r="L8" s="158">
        <f t="shared" si="0"/>
        <v>42</v>
      </c>
      <c r="M8" s="158">
        <f>14+8</f>
        <v>22</v>
      </c>
      <c r="N8" s="158">
        <v>0</v>
      </c>
      <c r="O8" s="354" t="s">
        <v>1147</v>
      </c>
      <c r="P8" s="367"/>
      <c r="Q8" s="373">
        <v>2</v>
      </c>
      <c r="R8" s="373" t="s">
        <v>204</v>
      </c>
      <c r="S8" s="373">
        <v>1</v>
      </c>
      <c r="T8" s="373">
        <v>0</v>
      </c>
      <c r="U8" s="373">
        <v>1</v>
      </c>
      <c r="V8" s="373">
        <f>S8*3+T8*1+U8*0</f>
        <v>3</v>
      </c>
      <c r="W8" s="374"/>
      <c r="X8" s="367"/>
      <c r="Y8" s="373">
        <v>2</v>
      </c>
      <c r="Z8" s="373" t="s">
        <v>277</v>
      </c>
      <c r="AA8" s="373">
        <v>0</v>
      </c>
      <c r="AB8" s="373">
        <v>3</v>
      </c>
      <c r="AC8" s="373">
        <v>0</v>
      </c>
      <c r="AD8" s="373">
        <f>AA8*3+AB8*1+AC8*0</f>
        <v>3</v>
      </c>
    </row>
    <row r="9" spans="2:30" ht="18.75" customHeight="1">
      <c r="B9" s="368">
        <v>4</v>
      </c>
      <c r="C9" s="369" t="s">
        <v>423</v>
      </c>
      <c r="D9" s="370">
        <v>4</v>
      </c>
      <c r="E9" s="371" t="s">
        <v>209</v>
      </c>
      <c r="F9" s="371" t="s">
        <v>424</v>
      </c>
      <c r="G9" s="372" t="s">
        <v>383</v>
      </c>
      <c r="H9" s="158" t="str">
        <f>VLOOKUP(E9,MD!$C$6:$K$58,3,FALSE)</f>
        <v>消防處</v>
      </c>
      <c r="I9" s="171" t="s">
        <v>424</v>
      </c>
      <c r="J9" s="158" t="s">
        <v>328</v>
      </c>
      <c r="K9" s="172">
        <v>2</v>
      </c>
      <c r="L9" s="158">
        <f t="shared" si="0"/>
        <v>42</v>
      </c>
      <c r="M9" s="158">
        <v>0</v>
      </c>
      <c r="N9" s="158">
        <v>0</v>
      </c>
      <c r="O9" s="354" t="s">
        <v>1143</v>
      </c>
      <c r="P9" s="367"/>
      <c r="Q9" s="373">
        <v>3</v>
      </c>
      <c r="R9" s="375" t="s">
        <v>210</v>
      </c>
      <c r="S9" s="373">
        <v>0</v>
      </c>
      <c r="T9" s="373">
        <v>0</v>
      </c>
      <c r="U9" s="373">
        <v>2</v>
      </c>
      <c r="V9" s="373">
        <f>S9*3+T9*1+U9*0</f>
        <v>0</v>
      </c>
      <c r="W9" s="374"/>
      <c r="X9" s="367"/>
      <c r="Y9" s="373">
        <v>3</v>
      </c>
      <c r="Z9" s="373" t="s">
        <v>118</v>
      </c>
      <c r="AA9" s="373">
        <v>0</v>
      </c>
      <c r="AB9" s="373">
        <v>3</v>
      </c>
      <c r="AC9" s="373">
        <v>0</v>
      </c>
      <c r="AD9" s="373">
        <f>AA9*3+AB9*1+AC9*0</f>
        <v>3</v>
      </c>
    </row>
    <row r="10" spans="2:30" ht="18.75" customHeight="1">
      <c r="B10" s="363">
        <v>5</v>
      </c>
      <c r="C10" s="369" t="s">
        <v>423</v>
      </c>
      <c r="D10" s="370">
        <v>5</v>
      </c>
      <c r="E10" s="371" t="s">
        <v>215</v>
      </c>
      <c r="F10" s="371" t="s">
        <v>424</v>
      </c>
      <c r="G10" s="372" t="s">
        <v>383</v>
      </c>
      <c r="H10" s="158" t="str">
        <f>VLOOKUP(E10,MD!$C$6:$K$58,3,FALSE)</f>
        <v>北極熊</v>
      </c>
      <c r="I10" s="171" t="s">
        <v>424</v>
      </c>
      <c r="J10" s="158" t="s">
        <v>328</v>
      </c>
      <c r="K10" s="172">
        <v>2</v>
      </c>
      <c r="L10" s="158">
        <f t="shared" si="0"/>
        <v>42</v>
      </c>
      <c r="M10" s="158">
        <v>0</v>
      </c>
      <c r="N10" s="158">
        <v>0</v>
      </c>
      <c r="O10" s="354" t="s">
        <v>1143</v>
      </c>
      <c r="P10" s="367"/>
      <c r="Q10" s="373"/>
      <c r="R10" s="572" t="s">
        <v>328</v>
      </c>
      <c r="S10" s="373"/>
      <c r="T10" s="373"/>
      <c r="U10" s="373"/>
      <c r="V10" s="373"/>
      <c r="W10" s="374"/>
      <c r="X10" s="367"/>
      <c r="Y10" s="373">
        <v>4</v>
      </c>
      <c r="Z10" s="572" t="s">
        <v>216</v>
      </c>
      <c r="AA10" s="373">
        <v>0</v>
      </c>
      <c r="AB10" s="373">
        <v>2</v>
      </c>
      <c r="AC10" s="373">
        <v>1</v>
      </c>
      <c r="AD10" s="373">
        <f>AA10*3+AB10*1+AC10*0</f>
        <v>2</v>
      </c>
    </row>
    <row r="11" spans="2:30" ht="18.75" customHeight="1">
      <c r="B11" s="368">
        <v>6</v>
      </c>
      <c r="C11" s="376" t="s">
        <v>423</v>
      </c>
      <c r="D11" s="377">
        <v>6</v>
      </c>
      <c r="E11" s="378" t="s">
        <v>117</v>
      </c>
      <c r="F11" s="378" t="s">
        <v>424</v>
      </c>
      <c r="G11" s="378" t="s">
        <v>209</v>
      </c>
      <c r="H11" s="158" t="str">
        <f>VLOOKUP(E11,MD!$C$6:$K$58,3,FALSE)</f>
        <v>SKTL</v>
      </c>
      <c r="I11" s="171" t="s">
        <v>424</v>
      </c>
      <c r="J11" s="158" t="str">
        <f>VLOOKUP(G11,MD!$C$6:$K$58,3,FALSE)</f>
        <v>消防處</v>
      </c>
      <c r="K11" s="172">
        <v>2</v>
      </c>
      <c r="L11" s="158">
        <f t="shared" si="0"/>
        <v>42</v>
      </c>
      <c r="M11" s="158">
        <f>16+14</f>
        <v>30</v>
      </c>
      <c r="N11" s="158">
        <v>0</v>
      </c>
      <c r="O11" s="354" t="s">
        <v>1177</v>
      </c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</row>
    <row r="12" spans="2:30" ht="18.75" customHeight="1">
      <c r="B12" s="379">
        <v>7</v>
      </c>
      <c r="C12" s="380" t="s">
        <v>460</v>
      </c>
      <c r="D12" s="365">
        <v>1</v>
      </c>
      <c r="E12" s="366" t="s">
        <v>123</v>
      </c>
      <c r="F12" s="366" t="s">
        <v>424</v>
      </c>
      <c r="G12" s="366" t="s">
        <v>750</v>
      </c>
      <c r="H12" s="158" t="str">
        <f>VLOOKUP(E12,MD!$C$6:$K$58,3,FALSE)</f>
        <v>我要買恒馳</v>
      </c>
      <c r="I12" s="171" t="s">
        <v>424</v>
      </c>
      <c r="J12" s="158" t="s">
        <v>277</v>
      </c>
      <c r="K12" s="172">
        <v>1</v>
      </c>
      <c r="L12" s="158">
        <f>22+17</f>
        <v>39</v>
      </c>
      <c r="M12" s="158">
        <f>20+21</f>
        <v>41</v>
      </c>
      <c r="N12" s="158">
        <v>1</v>
      </c>
      <c r="O12" s="354" t="s">
        <v>1148</v>
      </c>
      <c r="P12" s="367"/>
      <c r="Q12" s="367" t="s">
        <v>426</v>
      </c>
      <c r="R12" s="367" t="s">
        <v>50</v>
      </c>
      <c r="S12" s="367" t="s">
        <v>427</v>
      </c>
      <c r="T12" s="367" t="s">
        <v>428</v>
      </c>
      <c r="U12" s="367" t="s">
        <v>429</v>
      </c>
      <c r="V12" s="367" t="s">
        <v>61</v>
      </c>
      <c r="W12" s="367"/>
      <c r="X12" s="367"/>
      <c r="Y12" s="367" t="s">
        <v>426</v>
      </c>
      <c r="Z12" s="367" t="s">
        <v>50</v>
      </c>
      <c r="AA12" s="367" t="s">
        <v>427</v>
      </c>
      <c r="AB12" s="367" t="s">
        <v>428</v>
      </c>
      <c r="AC12" s="367" t="s">
        <v>429</v>
      </c>
      <c r="AD12" s="367" t="s">
        <v>61</v>
      </c>
    </row>
    <row r="13" spans="2:30" ht="18.75" customHeight="1">
      <c r="B13" s="381">
        <v>8</v>
      </c>
      <c r="C13" s="369" t="s">
        <v>460</v>
      </c>
      <c r="D13" s="370">
        <v>2</v>
      </c>
      <c r="E13" s="371" t="s">
        <v>203</v>
      </c>
      <c r="F13" s="371" t="s">
        <v>424</v>
      </c>
      <c r="G13" s="372" t="s">
        <v>220</v>
      </c>
      <c r="H13" s="158" t="str">
        <f>VLOOKUP(E13,MD!$C$6:$K$58,3,FALSE)</f>
        <v>豬扒廖家勤</v>
      </c>
      <c r="I13" s="171" t="s">
        <v>424</v>
      </c>
      <c r="J13" s="158" t="str">
        <f>VLOOKUP(G13,MD!$C$6:$K$58,3,FALSE)</f>
        <v>LS</v>
      </c>
      <c r="K13" s="172">
        <v>2</v>
      </c>
      <c r="L13" s="158">
        <f>21+22</f>
        <v>43</v>
      </c>
      <c r="M13" s="158">
        <f>14+20</f>
        <v>34</v>
      </c>
      <c r="N13" s="158">
        <v>0</v>
      </c>
      <c r="O13" s="354" t="s">
        <v>1144</v>
      </c>
      <c r="P13" s="367" t="s">
        <v>461</v>
      </c>
      <c r="Q13" s="373">
        <v>1</v>
      </c>
      <c r="R13" s="373" t="s">
        <v>124</v>
      </c>
      <c r="S13" s="373">
        <v>3</v>
      </c>
      <c r="T13" s="373">
        <v>0</v>
      </c>
      <c r="U13" s="373">
        <v>0</v>
      </c>
      <c r="V13" s="373">
        <f>S13*3+T13*1+U13*0</f>
        <v>9</v>
      </c>
      <c r="W13" s="374"/>
      <c r="X13" s="367" t="s">
        <v>462</v>
      </c>
      <c r="Y13" s="373">
        <v>1</v>
      </c>
      <c r="Z13" s="375" t="s">
        <v>294</v>
      </c>
      <c r="AA13" s="373">
        <v>3</v>
      </c>
      <c r="AB13" s="373">
        <v>0</v>
      </c>
      <c r="AC13" s="373">
        <v>0</v>
      </c>
      <c r="AD13" s="373">
        <f>AA13*3+AB13*1+AC13*0</f>
        <v>9</v>
      </c>
    </row>
    <row r="14" spans="2:30" ht="18.75" customHeight="1">
      <c r="B14" s="381">
        <v>9</v>
      </c>
      <c r="C14" s="369" t="s">
        <v>460</v>
      </c>
      <c r="D14" s="370">
        <v>3</v>
      </c>
      <c r="E14" s="371" t="s">
        <v>123</v>
      </c>
      <c r="F14" s="371" t="s">
        <v>424</v>
      </c>
      <c r="G14" s="371" t="s">
        <v>220</v>
      </c>
      <c r="H14" s="158" t="str">
        <f>VLOOKUP(E14,MD!$C$6:$K$58,3,FALSE)</f>
        <v>我要買恒馳</v>
      </c>
      <c r="I14" s="171" t="s">
        <v>424</v>
      </c>
      <c r="J14" s="158" t="str">
        <f>VLOOKUP(G14,MD!$C$6:$K$58,3,FALSE)</f>
        <v>LS</v>
      </c>
      <c r="K14" s="172">
        <v>1</v>
      </c>
      <c r="L14" s="158">
        <f>23+21</f>
        <v>44</v>
      </c>
      <c r="M14" s="158">
        <f>25+15</f>
        <v>40</v>
      </c>
      <c r="N14" s="158">
        <v>1</v>
      </c>
      <c r="O14" s="354" t="s">
        <v>1146</v>
      </c>
      <c r="P14" s="367"/>
      <c r="Q14" s="373">
        <v>2</v>
      </c>
      <c r="R14" s="373" t="s">
        <v>221</v>
      </c>
      <c r="S14" s="373">
        <v>1</v>
      </c>
      <c r="T14" s="373">
        <v>1</v>
      </c>
      <c r="U14" s="373">
        <v>1</v>
      </c>
      <c r="V14" s="373">
        <f>S14*3+T14*1+U14*0</f>
        <v>4</v>
      </c>
      <c r="W14" s="374"/>
      <c r="X14" s="367"/>
      <c r="Y14" s="373">
        <v>2</v>
      </c>
      <c r="Z14" s="375" t="s">
        <v>130</v>
      </c>
      <c r="AA14" s="373">
        <v>2</v>
      </c>
      <c r="AB14" s="373">
        <v>0</v>
      </c>
      <c r="AC14" s="373">
        <v>1</v>
      </c>
      <c r="AD14" s="373">
        <f>AA14*3+AB14*1+AC14*0</f>
        <v>6</v>
      </c>
    </row>
    <row r="15" spans="2:30" ht="18.75" customHeight="1">
      <c r="B15" s="381">
        <v>10</v>
      </c>
      <c r="C15" s="369" t="s">
        <v>460</v>
      </c>
      <c r="D15" s="370">
        <v>4</v>
      </c>
      <c r="E15" s="371" t="s">
        <v>203</v>
      </c>
      <c r="F15" s="371" t="s">
        <v>424</v>
      </c>
      <c r="G15" s="372" t="s">
        <v>750</v>
      </c>
      <c r="H15" s="158" t="str">
        <f>VLOOKUP(E15,MD!$C$6:$K$58,3,FALSE)</f>
        <v>豬扒廖家勤</v>
      </c>
      <c r="I15" s="171" t="s">
        <v>424</v>
      </c>
      <c r="J15" s="158" t="s">
        <v>277</v>
      </c>
      <c r="K15" s="172">
        <v>1</v>
      </c>
      <c r="L15" s="158">
        <f>21+19</f>
        <v>40</v>
      </c>
      <c r="M15" s="158">
        <f>15+21</f>
        <v>36</v>
      </c>
      <c r="N15" s="158">
        <v>1</v>
      </c>
      <c r="O15" s="354" t="s">
        <v>1142</v>
      </c>
      <c r="P15" s="367"/>
      <c r="Q15" s="373">
        <v>3</v>
      </c>
      <c r="R15" s="373" t="s">
        <v>192</v>
      </c>
      <c r="S15" s="373">
        <v>1</v>
      </c>
      <c r="T15" s="373">
        <v>0</v>
      </c>
      <c r="U15" s="373">
        <v>2</v>
      </c>
      <c r="V15" s="373">
        <f>S15*3+T15*1+U15*0</f>
        <v>3</v>
      </c>
      <c r="W15" s="374"/>
      <c r="X15" s="367"/>
      <c r="Y15" s="373">
        <v>3</v>
      </c>
      <c r="Z15" s="373" t="s">
        <v>227</v>
      </c>
      <c r="AA15" s="373">
        <v>1</v>
      </c>
      <c r="AB15" s="373">
        <v>0</v>
      </c>
      <c r="AC15" s="373">
        <v>2</v>
      </c>
      <c r="AD15" s="373">
        <f>AA15*3+AB15*1+AC15*0</f>
        <v>3</v>
      </c>
    </row>
    <row r="16" spans="2:30" ht="18.75" customHeight="1">
      <c r="B16" s="379">
        <v>11</v>
      </c>
      <c r="C16" s="369" t="s">
        <v>460</v>
      </c>
      <c r="D16" s="370">
        <v>5</v>
      </c>
      <c r="E16" s="371" t="s">
        <v>220</v>
      </c>
      <c r="F16" s="371" t="s">
        <v>424</v>
      </c>
      <c r="G16" s="372" t="s">
        <v>750</v>
      </c>
      <c r="H16" s="158" t="str">
        <f>VLOOKUP(E16,MD!$C$6:$K$58,3,FALSE)</f>
        <v>LS</v>
      </c>
      <c r="I16" s="171" t="s">
        <v>424</v>
      </c>
      <c r="J16" s="158" t="s">
        <v>277</v>
      </c>
      <c r="K16" s="172">
        <v>1</v>
      </c>
      <c r="L16" s="158">
        <f>13+21</f>
        <v>34</v>
      </c>
      <c r="M16" s="158">
        <f>21+18</f>
        <v>39</v>
      </c>
      <c r="N16" s="158">
        <v>1</v>
      </c>
      <c r="O16" s="354" t="s">
        <v>1169</v>
      </c>
      <c r="P16" s="367"/>
      <c r="Q16" s="373">
        <v>4</v>
      </c>
      <c r="R16" s="373" t="s">
        <v>324</v>
      </c>
      <c r="S16" s="373">
        <v>0</v>
      </c>
      <c r="T16" s="373">
        <v>1</v>
      </c>
      <c r="U16" s="373">
        <v>2</v>
      </c>
      <c r="V16" s="373">
        <f>S16*3+T16*1+U16*0</f>
        <v>1</v>
      </c>
      <c r="W16" s="374"/>
      <c r="X16" s="367"/>
      <c r="Y16" s="373">
        <v>4</v>
      </c>
      <c r="Z16" s="373" t="s">
        <v>186</v>
      </c>
      <c r="AA16" s="373">
        <v>0</v>
      </c>
      <c r="AB16" s="373">
        <v>0</v>
      </c>
      <c r="AC16" s="373">
        <v>3</v>
      </c>
      <c r="AD16" s="373">
        <f>AA16*3+AB16*1+AC16*0</f>
        <v>0</v>
      </c>
    </row>
    <row r="17" spans="2:30" ht="18.75" customHeight="1">
      <c r="B17" s="381">
        <v>12</v>
      </c>
      <c r="C17" s="376" t="s">
        <v>460</v>
      </c>
      <c r="D17" s="377">
        <v>6</v>
      </c>
      <c r="E17" s="378" t="s">
        <v>123</v>
      </c>
      <c r="F17" s="378" t="s">
        <v>424</v>
      </c>
      <c r="G17" s="378" t="s">
        <v>203</v>
      </c>
      <c r="H17" s="158" t="str">
        <f>VLOOKUP(E17,MD!$C$6:$K$58,3,FALSE)</f>
        <v>我要買恒馳</v>
      </c>
      <c r="I17" s="171" t="s">
        <v>424</v>
      </c>
      <c r="J17" s="158" t="str">
        <f>VLOOKUP(G17,MD!$C$6:$K$58,3,FALSE)</f>
        <v>豬扒廖家勤</v>
      </c>
      <c r="K17" s="172">
        <v>1</v>
      </c>
      <c r="L17" s="158">
        <f>14+21</f>
        <v>35</v>
      </c>
      <c r="M17" s="158">
        <f>21+15</f>
        <v>36</v>
      </c>
      <c r="N17" s="158">
        <v>1</v>
      </c>
      <c r="O17" s="354" t="s">
        <v>1176</v>
      </c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</row>
    <row r="18" spans="2:30" ht="18.75" customHeight="1">
      <c r="B18" s="379">
        <v>13</v>
      </c>
      <c r="C18" s="382" t="s">
        <v>461</v>
      </c>
      <c r="D18" s="383">
        <v>1</v>
      </c>
      <c r="E18" s="363" t="s">
        <v>129</v>
      </c>
      <c r="F18" s="366" t="s">
        <v>424</v>
      </c>
      <c r="G18" s="366" t="s">
        <v>766</v>
      </c>
      <c r="H18" s="158" t="str">
        <f>VLOOKUP(E18,MD!$C$6:$K$58,3,FALSE)</f>
        <v>ALPS HandShake</v>
      </c>
      <c r="I18" s="171" t="s">
        <v>424</v>
      </c>
      <c r="J18" s="158" t="s">
        <v>324</v>
      </c>
      <c r="K18" s="172">
        <v>2</v>
      </c>
      <c r="L18" s="158">
        <f>21+21</f>
        <v>42</v>
      </c>
      <c r="M18" s="158">
        <f>11+5</f>
        <v>16</v>
      </c>
      <c r="N18" s="158">
        <v>0</v>
      </c>
      <c r="O18" s="354" t="s">
        <v>1155</v>
      </c>
      <c r="P18" s="367"/>
      <c r="Q18" s="367" t="s">
        <v>426</v>
      </c>
      <c r="R18" s="367" t="s">
        <v>50</v>
      </c>
      <c r="S18" s="367" t="s">
        <v>427</v>
      </c>
      <c r="T18" s="367" t="s">
        <v>428</v>
      </c>
      <c r="U18" s="367" t="s">
        <v>429</v>
      </c>
      <c r="V18" s="367" t="s">
        <v>61</v>
      </c>
      <c r="W18" s="367"/>
      <c r="X18" s="367"/>
      <c r="Y18" s="367" t="s">
        <v>426</v>
      </c>
      <c r="Z18" s="367" t="s">
        <v>50</v>
      </c>
      <c r="AA18" s="367" t="s">
        <v>427</v>
      </c>
      <c r="AB18" s="367" t="s">
        <v>428</v>
      </c>
      <c r="AC18" s="367" t="s">
        <v>429</v>
      </c>
      <c r="AD18" s="367" t="s">
        <v>61</v>
      </c>
    </row>
    <row r="19" spans="2:30" ht="18.75" customHeight="1">
      <c r="B19" s="381">
        <v>14</v>
      </c>
      <c r="C19" s="369" t="s">
        <v>461</v>
      </c>
      <c r="D19" s="383">
        <v>2</v>
      </c>
      <c r="E19" s="384" t="s">
        <v>197</v>
      </c>
      <c r="F19" s="371" t="s">
        <v>424</v>
      </c>
      <c r="G19" s="372" t="s">
        <v>226</v>
      </c>
      <c r="H19" s="158" t="str">
        <f>VLOOKUP(E19,MD!$C$6:$K$58,3,FALSE)</f>
        <v>閃閃叔叔</v>
      </c>
      <c r="I19" s="171" t="s">
        <v>424</v>
      </c>
      <c r="J19" s="158" t="str">
        <f>VLOOKUP(G19,MD!$C$6:$K$58,3,FALSE)</f>
        <v>ALPS - CUBA</v>
      </c>
      <c r="K19" s="172">
        <v>0</v>
      </c>
      <c r="L19" s="158">
        <f>19+17</f>
        <v>36</v>
      </c>
      <c r="M19" s="158">
        <f>21+21</f>
        <v>42</v>
      </c>
      <c r="N19" s="158">
        <v>2</v>
      </c>
      <c r="O19" s="354" t="s">
        <v>433</v>
      </c>
      <c r="P19" s="367" t="s">
        <v>463</v>
      </c>
      <c r="Q19" s="373">
        <v>1</v>
      </c>
      <c r="R19" s="373" t="s">
        <v>136</v>
      </c>
      <c r="S19" s="373">
        <v>3</v>
      </c>
      <c r="T19" s="373">
        <v>0</v>
      </c>
      <c r="U19" s="373">
        <v>0</v>
      </c>
      <c r="V19" s="373">
        <f>S19*3+T19*1+U19*0</f>
        <v>9</v>
      </c>
      <c r="W19" s="374"/>
      <c r="X19" s="367" t="s">
        <v>464</v>
      </c>
      <c r="Y19" s="373">
        <v>1</v>
      </c>
      <c r="Z19" s="373" t="s">
        <v>174</v>
      </c>
      <c r="AA19" s="373">
        <v>2</v>
      </c>
      <c r="AB19" s="373">
        <v>1</v>
      </c>
      <c r="AC19" s="373">
        <v>0</v>
      </c>
      <c r="AD19" s="373">
        <f>AA19*3+AB19*1+AC19*0</f>
        <v>7</v>
      </c>
    </row>
    <row r="20" spans="2:30" ht="18.75" customHeight="1">
      <c r="B20" s="381">
        <v>15</v>
      </c>
      <c r="C20" s="385" t="s">
        <v>461</v>
      </c>
      <c r="D20" s="370">
        <v>3</v>
      </c>
      <c r="E20" s="371" t="s">
        <v>129</v>
      </c>
      <c r="F20" s="371" t="s">
        <v>424</v>
      </c>
      <c r="G20" s="371" t="s">
        <v>226</v>
      </c>
      <c r="H20" s="158" t="str">
        <f>VLOOKUP(E20,MD!$C$6:$K$58,3,FALSE)</f>
        <v>ALPS HandShake</v>
      </c>
      <c r="I20" s="171" t="s">
        <v>424</v>
      </c>
      <c r="J20" s="158" t="str">
        <f>VLOOKUP(G20,MD!$C$6:$K$58,3,FALSE)</f>
        <v>ALPS - CUBA</v>
      </c>
      <c r="K20" s="172">
        <v>2</v>
      </c>
      <c r="L20" s="158">
        <f>21+21</f>
        <v>42</v>
      </c>
      <c r="M20" s="158">
        <f>14+9</f>
        <v>23</v>
      </c>
      <c r="N20" s="158">
        <v>0</v>
      </c>
      <c r="O20" s="354" t="s">
        <v>1151</v>
      </c>
      <c r="P20" s="367"/>
      <c r="Q20" s="373">
        <v>2</v>
      </c>
      <c r="R20" s="373" t="s">
        <v>180</v>
      </c>
      <c r="S20" s="373">
        <v>1</v>
      </c>
      <c r="T20" s="373">
        <v>1</v>
      </c>
      <c r="U20" s="373">
        <v>1</v>
      </c>
      <c r="V20" s="373">
        <f>S20*3+T20*1+U20*0</f>
        <v>4</v>
      </c>
      <c r="W20" s="374"/>
      <c r="X20" s="367"/>
      <c r="Y20" s="373">
        <v>2</v>
      </c>
      <c r="Z20" s="373" t="s">
        <v>142</v>
      </c>
      <c r="AA20" s="373">
        <v>2</v>
      </c>
      <c r="AB20" s="373">
        <v>1</v>
      </c>
      <c r="AC20" s="373">
        <v>0</v>
      </c>
      <c r="AD20" s="373">
        <f>AA20*3+AB20*1+AC20*0</f>
        <v>7</v>
      </c>
    </row>
    <row r="21" spans="2:30" ht="18.75" customHeight="1">
      <c r="B21" s="381">
        <v>16</v>
      </c>
      <c r="C21" s="369" t="s">
        <v>461</v>
      </c>
      <c r="D21" s="383">
        <v>4</v>
      </c>
      <c r="E21" s="384" t="s">
        <v>197</v>
      </c>
      <c r="F21" s="371" t="s">
        <v>424</v>
      </c>
      <c r="G21" s="372" t="s">
        <v>766</v>
      </c>
      <c r="H21" s="158" t="str">
        <f>VLOOKUP(E21,MD!$C$6:$K$58,3,FALSE)</f>
        <v>閃閃叔叔</v>
      </c>
      <c r="I21" s="171" t="s">
        <v>424</v>
      </c>
      <c r="J21" s="158" t="s">
        <v>324</v>
      </c>
      <c r="K21" s="172">
        <v>2</v>
      </c>
      <c r="L21" s="158">
        <f>21+21</f>
        <v>42</v>
      </c>
      <c r="M21" s="158">
        <f>13+7</f>
        <v>20</v>
      </c>
      <c r="N21" s="158">
        <v>0</v>
      </c>
      <c r="O21" s="354" t="s">
        <v>1162</v>
      </c>
      <c r="P21" s="367"/>
      <c r="Q21" s="373">
        <v>3</v>
      </c>
      <c r="R21" s="373" t="s">
        <v>283</v>
      </c>
      <c r="S21" s="373">
        <v>0</v>
      </c>
      <c r="T21" s="373">
        <v>2</v>
      </c>
      <c r="U21" s="373">
        <v>1</v>
      </c>
      <c r="V21" s="373">
        <f>S21*3+T21*1+U21*0</f>
        <v>2</v>
      </c>
      <c r="W21" s="374"/>
      <c r="X21" s="367"/>
      <c r="Y21" s="373">
        <v>3</v>
      </c>
      <c r="Z21" s="373" t="s">
        <v>346</v>
      </c>
      <c r="AA21" s="373">
        <v>0</v>
      </c>
      <c r="AB21" s="373">
        <v>1</v>
      </c>
      <c r="AC21" s="373">
        <v>2</v>
      </c>
      <c r="AD21" s="373">
        <f>AA21*3+AB21*1+AC21*0</f>
        <v>1</v>
      </c>
    </row>
    <row r="22" spans="2:30" ht="18.75" customHeight="1">
      <c r="B22" s="379">
        <v>17</v>
      </c>
      <c r="C22" s="369" t="s">
        <v>461</v>
      </c>
      <c r="D22" s="383">
        <v>5</v>
      </c>
      <c r="E22" s="384" t="s">
        <v>226</v>
      </c>
      <c r="F22" s="371" t="s">
        <v>424</v>
      </c>
      <c r="G22" s="372" t="s">
        <v>766</v>
      </c>
      <c r="H22" s="158" t="str">
        <f>VLOOKUP(E22,MD!$C$6:$K$58,3,FALSE)</f>
        <v>ALPS - CUBA</v>
      </c>
      <c r="I22" s="171" t="s">
        <v>424</v>
      </c>
      <c r="J22" s="158" t="s">
        <v>324</v>
      </c>
      <c r="K22" s="172">
        <v>1</v>
      </c>
      <c r="L22" s="158">
        <f>23+20</f>
        <v>43</v>
      </c>
      <c r="M22" s="158">
        <f>21+22</f>
        <v>43</v>
      </c>
      <c r="N22" s="158">
        <v>1</v>
      </c>
      <c r="O22" s="354" t="s">
        <v>1157</v>
      </c>
      <c r="P22" s="367"/>
      <c r="Q22" s="373">
        <v>4</v>
      </c>
      <c r="R22" s="373" t="s">
        <v>1160</v>
      </c>
      <c r="S22" s="373">
        <v>0</v>
      </c>
      <c r="T22" s="373">
        <v>1</v>
      </c>
      <c r="U22" s="373">
        <v>2</v>
      </c>
      <c r="V22" s="373">
        <f>S22*3+T22*1+U22*0</f>
        <v>1</v>
      </c>
      <c r="W22" s="374"/>
      <c r="X22" s="367"/>
      <c r="Y22" s="373">
        <v>4</v>
      </c>
      <c r="Z22" s="373" t="s">
        <v>1159</v>
      </c>
      <c r="AA22" s="373">
        <v>0</v>
      </c>
      <c r="AB22" s="373">
        <v>1</v>
      </c>
      <c r="AC22" s="373">
        <v>2</v>
      </c>
      <c r="AD22" s="373">
        <f>AA22*3+AB22*1+AC22*0</f>
        <v>1</v>
      </c>
    </row>
    <row r="23" spans="2:30" ht="18.75" customHeight="1">
      <c r="B23" s="381">
        <v>18</v>
      </c>
      <c r="C23" s="376" t="s">
        <v>461</v>
      </c>
      <c r="D23" s="377">
        <v>6</v>
      </c>
      <c r="E23" s="386" t="s">
        <v>129</v>
      </c>
      <c r="F23" s="378" t="s">
        <v>424</v>
      </c>
      <c r="G23" s="378" t="s">
        <v>197</v>
      </c>
      <c r="H23" s="158" t="str">
        <f>VLOOKUP(E23,MD!$C$6:$K$58,3,FALSE)</f>
        <v>ALPS HandShake</v>
      </c>
      <c r="I23" s="171" t="s">
        <v>424</v>
      </c>
      <c r="J23" s="158" t="str">
        <f>VLOOKUP(G23,MD!$C$6:$K$58,3,FALSE)</f>
        <v>閃閃叔叔</v>
      </c>
      <c r="K23" s="172">
        <v>2</v>
      </c>
      <c r="L23" s="158">
        <f>21+21</f>
        <v>42</v>
      </c>
      <c r="M23" s="158">
        <f>19+10</f>
        <v>29</v>
      </c>
      <c r="N23" s="158">
        <v>0</v>
      </c>
      <c r="O23" s="354" t="s">
        <v>1150</v>
      </c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</row>
    <row r="24" spans="2:30" ht="18.75" customHeight="1">
      <c r="B24" s="379">
        <v>19</v>
      </c>
      <c r="C24" s="387" t="s">
        <v>462</v>
      </c>
      <c r="D24" s="383">
        <v>1</v>
      </c>
      <c r="E24" s="384" t="s">
        <v>135</v>
      </c>
      <c r="F24" s="371" t="s">
        <v>424</v>
      </c>
      <c r="G24" s="372" t="s">
        <v>739</v>
      </c>
      <c r="H24" s="158" t="str">
        <f>VLOOKUP(E24,MD!$C$6:$K$58,3,FALSE)</f>
        <v>Alps-Cheap Drink</v>
      </c>
      <c r="I24" s="171" t="s">
        <v>424</v>
      </c>
      <c r="J24" s="158" t="s">
        <v>294</v>
      </c>
      <c r="K24" s="172">
        <v>0</v>
      </c>
      <c r="L24" s="158">
        <f>15+19</f>
        <v>34</v>
      </c>
      <c r="M24" s="158">
        <f>21+21</f>
        <v>42</v>
      </c>
      <c r="N24" s="158">
        <v>2</v>
      </c>
      <c r="O24" s="354" t="s">
        <v>1154</v>
      </c>
      <c r="P24" s="367"/>
      <c r="Q24" s="367" t="s">
        <v>426</v>
      </c>
      <c r="R24" s="367" t="s">
        <v>50</v>
      </c>
      <c r="S24" s="367" t="s">
        <v>427</v>
      </c>
      <c r="T24" s="367" t="s">
        <v>428</v>
      </c>
      <c r="U24" s="367" t="s">
        <v>429</v>
      </c>
      <c r="V24" s="367" t="s">
        <v>61</v>
      </c>
      <c r="W24" s="367"/>
      <c r="X24" s="388"/>
      <c r="Y24" s="367" t="s">
        <v>426</v>
      </c>
      <c r="Z24" s="367" t="s">
        <v>50</v>
      </c>
      <c r="AA24" s="367" t="s">
        <v>427</v>
      </c>
      <c r="AB24" s="367" t="s">
        <v>428</v>
      </c>
      <c r="AC24" s="367" t="s">
        <v>429</v>
      </c>
      <c r="AD24" s="367" t="s">
        <v>61</v>
      </c>
    </row>
    <row r="25" spans="2:30" ht="18.75" customHeight="1">
      <c r="B25" s="381">
        <v>20</v>
      </c>
      <c r="C25" s="387" t="s">
        <v>462</v>
      </c>
      <c r="D25" s="383">
        <v>2</v>
      </c>
      <c r="E25" s="384" t="s">
        <v>191</v>
      </c>
      <c r="F25" s="371" t="s">
        <v>424</v>
      </c>
      <c r="G25" s="372" t="s">
        <v>232</v>
      </c>
      <c r="H25" s="158" t="str">
        <f>VLOOKUP(E25,MD!$C$6:$K$58,3,FALSE)</f>
        <v>撈碧鵰</v>
      </c>
      <c r="I25" s="171" t="s">
        <v>424</v>
      </c>
      <c r="J25" s="158" t="str">
        <f>VLOOKUP(G25,MD!$C$6:$K$58,3,FALSE)</f>
        <v>懶肉竹笙走韭芽</v>
      </c>
      <c r="K25" s="172">
        <v>0</v>
      </c>
      <c r="L25" s="158">
        <f>11+17</f>
        <v>28</v>
      </c>
      <c r="M25" s="158">
        <f>21+21</f>
        <v>42</v>
      </c>
      <c r="N25" s="158">
        <v>2</v>
      </c>
      <c r="O25" s="354" t="s">
        <v>1163</v>
      </c>
      <c r="P25" s="367" t="s">
        <v>465</v>
      </c>
      <c r="Q25" s="373">
        <v>1</v>
      </c>
      <c r="R25" s="373" t="s">
        <v>148</v>
      </c>
      <c r="S25" s="373">
        <v>3</v>
      </c>
      <c r="T25" s="373">
        <v>0</v>
      </c>
      <c r="U25" s="373">
        <v>0</v>
      </c>
      <c r="V25" s="373">
        <f>S25*3+T25*1+U25*0</f>
        <v>9</v>
      </c>
      <c r="W25" s="374"/>
      <c r="X25" s="367" t="s">
        <v>466</v>
      </c>
      <c r="Y25" s="373">
        <v>1</v>
      </c>
      <c r="Z25" s="373" t="s">
        <v>1172</v>
      </c>
      <c r="AA25" s="373">
        <v>2</v>
      </c>
      <c r="AB25" s="373">
        <v>1</v>
      </c>
      <c r="AC25" s="373">
        <v>0</v>
      </c>
      <c r="AD25" s="373">
        <f>AA25*3+AB25*1+AC25*0</f>
        <v>7</v>
      </c>
    </row>
    <row r="26" spans="2:30" ht="18.75" customHeight="1">
      <c r="B26" s="381">
        <v>21</v>
      </c>
      <c r="C26" s="369" t="s">
        <v>462</v>
      </c>
      <c r="D26" s="370">
        <v>3</v>
      </c>
      <c r="E26" s="371" t="s">
        <v>135</v>
      </c>
      <c r="F26" s="371" t="s">
        <v>424</v>
      </c>
      <c r="G26" s="371" t="s">
        <v>232</v>
      </c>
      <c r="H26" s="158" t="str">
        <f>VLOOKUP(E26,MD!$C$6:$K$58,3,FALSE)</f>
        <v>Alps-Cheap Drink</v>
      </c>
      <c r="I26" s="171" t="s">
        <v>424</v>
      </c>
      <c r="J26" s="158" t="str">
        <f>VLOOKUP(G26,MD!$C$6:$K$58,3,FALSE)</f>
        <v>懶肉竹笙走韭芽</v>
      </c>
      <c r="K26" s="172">
        <v>2</v>
      </c>
      <c r="L26" s="158">
        <f>21+21</f>
        <v>42</v>
      </c>
      <c r="M26" s="158">
        <f>7+9</f>
        <v>16</v>
      </c>
      <c r="N26" s="158">
        <v>0</v>
      </c>
      <c r="O26" s="354" t="s">
        <v>1153</v>
      </c>
      <c r="P26" s="367"/>
      <c r="Q26" s="373">
        <v>2</v>
      </c>
      <c r="R26" s="373" t="s">
        <v>167</v>
      </c>
      <c r="S26" s="373">
        <v>2</v>
      </c>
      <c r="T26" s="373">
        <v>0</v>
      </c>
      <c r="U26" s="373">
        <v>1</v>
      </c>
      <c r="V26" s="373">
        <f>S26*3+T26*1+U26*0</f>
        <v>6</v>
      </c>
      <c r="W26" s="374"/>
      <c r="X26" s="367"/>
      <c r="Y26" s="373">
        <v>2</v>
      </c>
      <c r="Z26" s="373" t="s">
        <v>155</v>
      </c>
      <c r="AA26" s="373">
        <v>2</v>
      </c>
      <c r="AB26" s="373">
        <v>1</v>
      </c>
      <c r="AC26" s="373">
        <v>0</v>
      </c>
      <c r="AD26" s="373">
        <f>AA26*3+AB26*1+AC26*0</f>
        <v>7</v>
      </c>
    </row>
    <row r="27" spans="2:30" ht="18.75" customHeight="1">
      <c r="B27" s="381">
        <v>22</v>
      </c>
      <c r="C27" s="387" t="s">
        <v>462</v>
      </c>
      <c r="D27" s="383">
        <v>4</v>
      </c>
      <c r="E27" s="384" t="s">
        <v>191</v>
      </c>
      <c r="F27" s="371" t="s">
        <v>424</v>
      </c>
      <c r="G27" s="372" t="s">
        <v>739</v>
      </c>
      <c r="H27" s="158" t="str">
        <f>VLOOKUP(E27,MD!$C$6:$K$58,3,FALSE)</f>
        <v>撈碧鵰</v>
      </c>
      <c r="I27" s="171" t="s">
        <v>424</v>
      </c>
      <c r="J27" s="158" t="s">
        <v>294</v>
      </c>
      <c r="K27" s="172">
        <v>0</v>
      </c>
      <c r="L27" s="158">
        <f>12+11</f>
        <v>23</v>
      </c>
      <c r="M27" s="158">
        <f>21+21</f>
        <v>42</v>
      </c>
      <c r="N27" s="158">
        <v>2</v>
      </c>
      <c r="O27" s="354" t="s">
        <v>1161</v>
      </c>
      <c r="P27" s="367"/>
      <c r="Q27" s="373">
        <v>3</v>
      </c>
      <c r="R27" s="375" t="s">
        <v>810</v>
      </c>
      <c r="S27" s="373">
        <v>1</v>
      </c>
      <c r="T27" s="373">
        <v>0</v>
      </c>
      <c r="U27" s="373">
        <v>2</v>
      </c>
      <c r="V27" s="373">
        <f>S27*3+T27*1+U27*0</f>
        <v>3</v>
      </c>
      <c r="W27" s="374"/>
      <c r="X27" s="367"/>
      <c r="Y27" s="373">
        <v>3</v>
      </c>
      <c r="Z27" s="373" t="s">
        <v>265</v>
      </c>
      <c r="AA27" s="373">
        <v>1</v>
      </c>
      <c r="AB27" s="373">
        <v>0</v>
      </c>
      <c r="AC27" s="373">
        <v>2</v>
      </c>
      <c r="AD27" s="373">
        <f>AA27*3+AB27*1+AC27*0</f>
        <v>3</v>
      </c>
    </row>
    <row r="28" spans="2:30" ht="18.75" customHeight="1">
      <c r="B28" s="379">
        <v>23</v>
      </c>
      <c r="C28" s="387" t="s">
        <v>462</v>
      </c>
      <c r="D28" s="383">
        <v>5</v>
      </c>
      <c r="E28" s="384" t="s">
        <v>232</v>
      </c>
      <c r="F28" s="371" t="s">
        <v>424</v>
      </c>
      <c r="G28" s="372" t="s">
        <v>739</v>
      </c>
      <c r="H28" s="158" t="str">
        <f>VLOOKUP(E28,MD!$C$6:$K$58,3,FALSE)</f>
        <v>懶肉竹笙走韭芽</v>
      </c>
      <c r="I28" s="171" t="s">
        <v>424</v>
      </c>
      <c r="J28" s="158" t="s">
        <v>294</v>
      </c>
      <c r="K28" s="172">
        <v>0</v>
      </c>
      <c r="L28" s="158">
        <f>13+7</f>
        <v>20</v>
      </c>
      <c r="M28" s="158">
        <f>21+21</f>
        <v>42</v>
      </c>
      <c r="N28" s="158">
        <v>2</v>
      </c>
      <c r="O28" s="354" t="s">
        <v>1156</v>
      </c>
      <c r="P28" s="367"/>
      <c r="Q28" s="373">
        <v>4</v>
      </c>
      <c r="R28" s="373" t="s">
        <v>239</v>
      </c>
      <c r="S28" s="373">
        <v>0</v>
      </c>
      <c r="T28" s="373">
        <v>0</v>
      </c>
      <c r="U28" s="373">
        <v>3</v>
      </c>
      <c r="V28" s="373">
        <f>S28*3+T28*1+U28*0</f>
        <v>0</v>
      </c>
      <c r="W28" s="374"/>
      <c r="X28" s="367"/>
      <c r="Y28" s="373">
        <v>4</v>
      </c>
      <c r="Z28" s="373" t="s">
        <v>336</v>
      </c>
      <c r="AA28" s="373">
        <v>0</v>
      </c>
      <c r="AB28" s="373">
        <v>0</v>
      </c>
      <c r="AC28" s="373">
        <v>3</v>
      </c>
      <c r="AD28" s="373">
        <f>AA28*3+AB28*1+AC28*0</f>
        <v>0</v>
      </c>
    </row>
    <row r="29" spans="2:15" ht="18.75" customHeight="1">
      <c r="B29" s="381">
        <v>24</v>
      </c>
      <c r="C29" s="387" t="s">
        <v>462</v>
      </c>
      <c r="D29" s="377">
        <v>6</v>
      </c>
      <c r="E29" s="386" t="s">
        <v>135</v>
      </c>
      <c r="F29" s="378" t="s">
        <v>424</v>
      </c>
      <c r="G29" s="378" t="s">
        <v>191</v>
      </c>
      <c r="H29" s="158" t="str">
        <f>VLOOKUP(E29,MD!$C$6:$K$58,3,FALSE)</f>
        <v>Alps-Cheap Drink</v>
      </c>
      <c r="I29" s="171" t="s">
        <v>424</v>
      </c>
      <c r="J29" s="158" t="str">
        <f>VLOOKUP(G29,MD!$C$6:$K$58,3,FALSE)</f>
        <v>撈碧鵰</v>
      </c>
      <c r="K29" s="172">
        <v>2</v>
      </c>
      <c r="L29" s="158">
        <f>21+21</f>
        <v>42</v>
      </c>
      <c r="M29" s="158">
        <f>7+6</f>
        <v>13</v>
      </c>
      <c r="N29" s="158">
        <v>0</v>
      </c>
      <c r="O29" s="354" t="s">
        <v>1149</v>
      </c>
    </row>
    <row r="30" spans="2:17" ht="18.75" customHeight="1">
      <c r="B30" s="379">
        <v>25</v>
      </c>
      <c r="C30" s="364" t="s">
        <v>463</v>
      </c>
      <c r="D30" s="383">
        <v>1</v>
      </c>
      <c r="E30" s="384" t="s">
        <v>141</v>
      </c>
      <c r="F30" s="371" t="s">
        <v>424</v>
      </c>
      <c r="G30" s="372" t="s">
        <v>780</v>
      </c>
      <c r="H30" s="158" t="str">
        <f>VLOOKUP(E30,MD!$C$6:$K$58,3,FALSE)</f>
        <v>Ivan &amp; Pak</v>
      </c>
      <c r="I30" s="171" t="s">
        <v>424</v>
      </c>
      <c r="J30" s="158" t="s">
        <v>283</v>
      </c>
      <c r="K30" s="172">
        <v>2</v>
      </c>
      <c r="L30" s="158">
        <f>21+21</f>
        <v>42</v>
      </c>
      <c r="M30" s="158">
        <f>16+13</f>
        <v>29</v>
      </c>
      <c r="N30" s="158">
        <v>0</v>
      </c>
      <c r="O30" s="354" t="s">
        <v>1152</v>
      </c>
      <c r="P30" s="127"/>
      <c r="Q30" s="127"/>
    </row>
    <row r="31" spans="2:24" ht="18.75" customHeight="1">
      <c r="B31" s="381">
        <v>26</v>
      </c>
      <c r="C31" s="369" t="s">
        <v>463</v>
      </c>
      <c r="D31" s="383">
        <v>2</v>
      </c>
      <c r="E31" s="384" t="s">
        <v>185</v>
      </c>
      <c r="F31" s="371" t="s">
        <v>424</v>
      </c>
      <c r="G31" s="372" t="s">
        <v>238</v>
      </c>
      <c r="H31" s="158" t="str">
        <f>VLOOKUP(E31,MD!$C$6:$K$58,3,FALSE)</f>
        <v>鉅威好大隻</v>
      </c>
      <c r="I31" s="171" t="s">
        <v>424</v>
      </c>
      <c r="J31" s="158" t="str">
        <f>VLOOKUP(G31,MD!$C$6:$K$58,3,FALSE)</f>
        <v>隨心91ers</v>
      </c>
      <c r="K31" s="172">
        <v>2</v>
      </c>
      <c r="L31" s="158">
        <f>21+21</f>
        <v>42</v>
      </c>
      <c r="M31" s="158">
        <f>15+13</f>
        <v>28</v>
      </c>
      <c r="N31" s="158">
        <v>0</v>
      </c>
      <c r="O31" s="354" t="s">
        <v>886</v>
      </c>
      <c r="P31" s="127"/>
      <c r="Q31" s="127"/>
      <c r="R31" s="127"/>
      <c r="S31" s="127"/>
      <c r="T31" s="127"/>
      <c r="U31" s="127"/>
      <c r="V31" s="127"/>
      <c r="W31" s="127"/>
      <c r="X31" s="127"/>
    </row>
    <row r="32" spans="2:24" ht="18.75" customHeight="1">
      <c r="B32" s="381">
        <v>27</v>
      </c>
      <c r="C32" s="369" t="s">
        <v>463</v>
      </c>
      <c r="D32" s="370">
        <v>3</v>
      </c>
      <c r="E32" s="371" t="s">
        <v>141</v>
      </c>
      <c r="F32" s="371" t="s">
        <v>424</v>
      </c>
      <c r="G32" s="371" t="s">
        <v>238</v>
      </c>
      <c r="H32" s="158" t="str">
        <f>VLOOKUP(E32,MD!$C$6:$K$58,3,FALSE)</f>
        <v>Ivan &amp; Pak</v>
      </c>
      <c r="I32" s="171" t="s">
        <v>424</v>
      </c>
      <c r="J32" s="158" t="str">
        <f>VLOOKUP(G32,MD!$C$6:$K$58,3,FALSE)</f>
        <v>隨心91ers</v>
      </c>
      <c r="K32" s="172">
        <v>2</v>
      </c>
      <c r="L32" s="158">
        <f>21+21</f>
        <v>42</v>
      </c>
      <c r="M32" s="158">
        <f>9+14</f>
        <v>23</v>
      </c>
      <c r="N32" s="158">
        <v>0</v>
      </c>
      <c r="O32" s="354" t="s">
        <v>844</v>
      </c>
      <c r="P32" s="127"/>
      <c r="Q32" s="127"/>
      <c r="W32" s="127"/>
      <c r="X32" s="127"/>
    </row>
    <row r="33" spans="2:24" ht="18.75" customHeight="1">
      <c r="B33" s="381">
        <v>28</v>
      </c>
      <c r="C33" s="369" t="s">
        <v>463</v>
      </c>
      <c r="D33" s="383">
        <v>4</v>
      </c>
      <c r="E33" s="384" t="s">
        <v>185</v>
      </c>
      <c r="F33" s="371" t="s">
        <v>424</v>
      </c>
      <c r="G33" s="372" t="s">
        <v>780</v>
      </c>
      <c r="H33" s="158" t="str">
        <f>VLOOKUP(E33,MD!$C$6:$K$58,3,FALSE)</f>
        <v>鉅威好大隻</v>
      </c>
      <c r="I33" s="171" t="s">
        <v>424</v>
      </c>
      <c r="J33" s="158" t="s">
        <v>283</v>
      </c>
      <c r="K33" s="172">
        <v>1</v>
      </c>
      <c r="L33" s="158">
        <f>21+18</f>
        <v>39</v>
      </c>
      <c r="M33" s="158">
        <f>19+21</f>
        <v>40</v>
      </c>
      <c r="N33" s="158">
        <v>1</v>
      </c>
      <c r="O33" s="354" t="s">
        <v>1121</v>
      </c>
      <c r="P33" s="127"/>
      <c r="Q33" s="127"/>
      <c r="R33" s="127"/>
      <c r="S33" s="127"/>
      <c r="T33" s="127"/>
      <c r="U33" s="127"/>
      <c r="V33" s="127"/>
      <c r="W33" s="127"/>
      <c r="X33" s="127"/>
    </row>
    <row r="34" spans="2:30" ht="18.75" customHeight="1">
      <c r="B34" s="379">
        <v>29</v>
      </c>
      <c r="C34" s="369" t="s">
        <v>463</v>
      </c>
      <c r="D34" s="383">
        <v>5</v>
      </c>
      <c r="E34" s="384" t="s">
        <v>238</v>
      </c>
      <c r="F34" s="371" t="s">
        <v>424</v>
      </c>
      <c r="G34" s="372" t="s">
        <v>780</v>
      </c>
      <c r="H34" s="158" t="str">
        <f>VLOOKUP(E34,MD!$C$6:$K$58,3,FALSE)</f>
        <v>隨心91ers</v>
      </c>
      <c r="I34" s="171" t="s">
        <v>424</v>
      </c>
      <c r="J34" s="158" t="s">
        <v>283</v>
      </c>
      <c r="K34" s="172">
        <v>1</v>
      </c>
      <c r="L34" s="158">
        <f>19+21</f>
        <v>40</v>
      </c>
      <c r="M34" s="158">
        <f>21+17</f>
        <v>38</v>
      </c>
      <c r="N34" s="158">
        <v>1</v>
      </c>
      <c r="O34" s="354" t="s">
        <v>1185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</row>
    <row r="35" spans="2:30" ht="18.75" customHeight="1">
      <c r="B35" s="381">
        <v>30</v>
      </c>
      <c r="C35" s="369" t="s">
        <v>463</v>
      </c>
      <c r="D35" s="377">
        <v>6</v>
      </c>
      <c r="E35" s="386" t="s">
        <v>141</v>
      </c>
      <c r="F35" s="378" t="s">
        <v>424</v>
      </c>
      <c r="G35" s="378" t="s">
        <v>185</v>
      </c>
      <c r="H35" s="158" t="str">
        <f>VLOOKUP(E35,MD!$C$6:$K$58,3,FALSE)</f>
        <v>Ivan &amp; Pak</v>
      </c>
      <c r="I35" s="171" t="s">
        <v>424</v>
      </c>
      <c r="J35" s="158" t="str">
        <f>VLOOKUP(G35,MD!$C$6:$K$58,3,FALSE)</f>
        <v>鉅威好大隻</v>
      </c>
      <c r="K35" s="172">
        <v>2</v>
      </c>
      <c r="L35" s="158">
        <f>21+21</f>
        <v>42</v>
      </c>
      <c r="M35" s="158">
        <f>15+12</f>
        <v>27</v>
      </c>
      <c r="N35" s="158">
        <v>0</v>
      </c>
      <c r="O35" s="354" t="s">
        <v>1183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2:30" ht="18.75" customHeight="1">
      <c r="B36" s="379">
        <v>31</v>
      </c>
      <c r="C36" s="364" t="s">
        <v>464</v>
      </c>
      <c r="D36" s="383">
        <v>1</v>
      </c>
      <c r="E36" s="363" t="s">
        <v>147</v>
      </c>
      <c r="F36" s="366" t="s">
        <v>424</v>
      </c>
      <c r="G36" s="366" t="s">
        <v>793</v>
      </c>
      <c r="H36" s="158" t="str">
        <f>VLOOKUP(E36,MD!$C$6:$K$58,3,FALSE)</f>
        <v>熱情的麻鷹</v>
      </c>
      <c r="I36" s="171" t="s">
        <v>424</v>
      </c>
      <c r="J36" s="158" t="s">
        <v>346</v>
      </c>
      <c r="K36" s="172">
        <v>2</v>
      </c>
      <c r="L36" s="158">
        <f>21+21</f>
        <v>42</v>
      </c>
      <c r="M36" s="158">
        <f>14+9</f>
        <v>23</v>
      </c>
      <c r="N36" s="158">
        <v>0</v>
      </c>
      <c r="O36" s="354" t="s">
        <v>1151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</row>
    <row r="37" spans="2:30" ht="18.75" customHeight="1">
      <c r="B37" s="381">
        <v>32</v>
      </c>
      <c r="C37" s="369" t="s">
        <v>464</v>
      </c>
      <c r="D37" s="383">
        <v>2</v>
      </c>
      <c r="E37" s="384" t="s">
        <v>179</v>
      </c>
      <c r="F37" s="371" t="s">
        <v>424</v>
      </c>
      <c r="G37" s="372" t="s">
        <v>251</v>
      </c>
      <c r="H37" s="158" t="str">
        <f>VLOOKUP(E37,MD!$C$6:$K$58,3,FALSE)</f>
        <v>SCAA L&amp;M</v>
      </c>
      <c r="I37" s="171" t="s">
        <v>424</v>
      </c>
      <c r="J37" s="158" t="str">
        <f>VLOOKUP(G37,MD!$C$6:$K$58,3,FALSE)</f>
        <v>IVE雙雷</v>
      </c>
      <c r="K37" s="172">
        <v>2</v>
      </c>
      <c r="L37" s="158">
        <f>21+21</f>
        <v>42</v>
      </c>
      <c r="M37" s="158">
        <f>8+15</f>
        <v>23</v>
      </c>
      <c r="N37" s="158">
        <v>0</v>
      </c>
      <c r="O37" s="354" t="s">
        <v>1158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</row>
    <row r="38" spans="2:30" ht="18.75" customHeight="1">
      <c r="B38" s="381">
        <v>33</v>
      </c>
      <c r="C38" s="369" t="s">
        <v>464</v>
      </c>
      <c r="D38" s="370">
        <v>3</v>
      </c>
      <c r="E38" s="371" t="s">
        <v>147</v>
      </c>
      <c r="F38" s="371" t="s">
        <v>424</v>
      </c>
      <c r="G38" s="371" t="s">
        <v>251</v>
      </c>
      <c r="H38" s="158" t="str">
        <f>VLOOKUP(E38,MD!$C$6:$K$58,3,FALSE)</f>
        <v>熱情的麻鷹</v>
      </c>
      <c r="I38" s="171" t="s">
        <v>424</v>
      </c>
      <c r="J38" s="158" t="str">
        <f>VLOOKUP(G38,MD!$C$6:$K$58,3,FALSE)</f>
        <v>IVE雙雷</v>
      </c>
      <c r="K38" s="172">
        <v>2</v>
      </c>
      <c r="L38" s="158">
        <f>21+21</f>
        <v>42</v>
      </c>
      <c r="M38" s="158">
        <f>18+18</f>
        <v>36</v>
      </c>
      <c r="N38" s="158">
        <v>0</v>
      </c>
      <c r="O38" s="354" t="s">
        <v>1184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</row>
    <row r="39" spans="2:30" ht="18.75" customHeight="1">
      <c r="B39" s="381">
        <v>34</v>
      </c>
      <c r="C39" s="369" t="s">
        <v>464</v>
      </c>
      <c r="D39" s="383">
        <v>4</v>
      </c>
      <c r="E39" s="384" t="s">
        <v>179</v>
      </c>
      <c r="F39" s="371" t="s">
        <v>424</v>
      </c>
      <c r="G39" s="372" t="s">
        <v>793</v>
      </c>
      <c r="H39" s="158" t="str">
        <f>VLOOKUP(E39,MD!$C$6:$K$58,3,FALSE)</f>
        <v>SCAA L&amp;M</v>
      </c>
      <c r="I39" s="171" t="s">
        <v>424</v>
      </c>
      <c r="J39" s="158" t="s">
        <v>346</v>
      </c>
      <c r="K39" s="172">
        <v>2</v>
      </c>
      <c r="L39" s="158">
        <f>21+21</f>
        <v>42</v>
      </c>
      <c r="M39" s="158">
        <f>18+12</f>
        <v>30</v>
      </c>
      <c r="N39" s="158">
        <v>0</v>
      </c>
      <c r="O39" s="354" t="s">
        <v>1186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</row>
    <row r="40" spans="2:30" ht="18.75" customHeight="1">
      <c r="B40" s="379">
        <v>35</v>
      </c>
      <c r="C40" s="369" t="s">
        <v>464</v>
      </c>
      <c r="D40" s="383">
        <v>5</v>
      </c>
      <c r="E40" s="384" t="s">
        <v>251</v>
      </c>
      <c r="F40" s="371" t="s">
        <v>424</v>
      </c>
      <c r="G40" s="372" t="s">
        <v>793</v>
      </c>
      <c r="H40" s="158" t="str">
        <f>VLOOKUP(E40,MD!$C$6:$K$58,3,FALSE)</f>
        <v>IVE雙雷</v>
      </c>
      <c r="I40" s="171" t="s">
        <v>424</v>
      </c>
      <c r="J40" s="158" t="s">
        <v>346</v>
      </c>
      <c r="K40" s="172">
        <v>1</v>
      </c>
      <c r="L40" s="158">
        <f>13+21</f>
        <v>34</v>
      </c>
      <c r="M40" s="158">
        <f>21+19</f>
        <v>40</v>
      </c>
      <c r="N40" s="158">
        <v>1</v>
      </c>
      <c r="O40" s="354" t="s">
        <v>450</v>
      </c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</row>
    <row r="41" spans="2:30" ht="18.75" customHeight="1">
      <c r="B41" s="381">
        <v>36</v>
      </c>
      <c r="C41" s="376" t="s">
        <v>464</v>
      </c>
      <c r="D41" s="377">
        <v>6</v>
      </c>
      <c r="E41" s="386" t="s">
        <v>147</v>
      </c>
      <c r="F41" s="378" t="s">
        <v>424</v>
      </c>
      <c r="G41" s="378" t="s">
        <v>179</v>
      </c>
      <c r="H41" s="158" t="str">
        <f>VLOOKUP(E41,MD!$C$6:$K$58,3,FALSE)</f>
        <v>熱情的麻鷹</v>
      </c>
      <c r="I41" s="171" t="s">
        <v>424</v>
      </c>
      <c r="J41" s="158" t="str">
        <f>VLOOKUP(G41,MD!$C$6:$K$58,3,FALSE)</f>
        <v>SCAA L&amp;M</v>
      </c>
      <c r="K41" s="172">
        <v>1</v>
      </c>
      <c r="L41" s="158">
        <f>22+10</f>
        <v>32</v>
      </c>
      <c r="M41" s="158">
        <f>20+21</f>
        <v>41</v>
      </c>
      <c r="N41" s="158">
        <v>1</v>
      </c>
      <c r="O41" s="354" t="s">
        <v>1182</v>
      </c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</row>
    <row r="42" spans="2:30" ht="18.75" customHeight="1">
      <c r="B42" s="379">
        <v>37</v>
      </c>
      <c r="C42" s="387" t="s">
        <v>465</v>
      </c>
      <c r="D42" s="383">
        <v>1</v>
      </c>
      <c r="E42" s="363" t="s">
        <v>153</v>
      </c>
      <c r="F42" s="366" t="s">
        <v>424</v>
      </c>
      <c r="G42" s="366" t="s">
        <v>734</v>
      </c>
      <c r="H42" s="158" t="str">
        <f>VLOOKUP(E42,MD!$C$6:$K$58,3,FALSE)</f>
        <v>SBDW</v>
      </c>
      <c r="I42" s="171" t="s">
        <v>424</v>
      </c>
      <c r="J42" s="158" t="s">
        <v>810</v>
      </c>
      <c r="K42" s="172">
        <v>2</v>
      </c>
      <c r="L42" s="158">
        <f>21+21</f>
        <v>42</v>
      </c>
      <c r="M42" s="158">
        <f>13+10</f>
        <v>23</v>
      </c>
      <c r="N42" s="158">
        <v>0</v>
      </c>
      <c r="O42" s="354" t="s">
        <v>1181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</row>
    <row r="43" spans="2:30" ht="18.75" customHeight="1">
      <c r="B43" s="381">
        <v>38</v>
      </c>
      <c r="C43" s="387" t="s">
        <v>465</v>
      </c>
      <c r="D43" s="383">
        <v>2</v>
      </c>
      <c r="E43" s="384" t="s">
        <v>172</v>
      </c>
      <c r="F43" s="371" t="s">
        <v>424</v>
      </c>
      <c r="G43" s="372" t="s">
        <v>244</v>
      </c>
      <c r="H43" s="158" t="str">
        <f>VLOOKUP(E43,MD!$C$6:$K$58,3,FALSE)</f>
        <v>培正</v>
      </c>
      <c r="I43" s="171" t="s">
        <v>424</v>
      </c>
      <c r="J43" s="158" t="str">
        <f>VLOOKUP(G43,MD!$C$6:$K$58,3,FALSE)</f>
        <v>企拍</v>
      </c>
      <c r="K43" s="172">
        <v>2</v>
      </c>
      <c r="L43" s="158">
        <f>21+24</f>
        <v>45</v>
      </c>
      <c r="M43" s="158">
        <f>16+22</f>
        <v>38</v>
      </c>
      <c r="N43" s="158">
        <v>0</v>
      </c>
      <c r="O43" s="354" t="s">
        <v>1174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</row>
    <row r="44" spans="2:30" ht="18.75" customHeight="1">
      <c r="B44" s="381">
        <v>39</v>
      </c>
      <c r="C44" s="369" t="s">
        <v>465</v>
      </c>
      <c r="D44" s="370">
        <v>3</v>
      </c>
      <c r="E44" s="371" t="s">
        <v>153</v>
      </c>
      <c r="F44" s="371" t="s">
        <v>424</v>
      </c>
      <c r="G44" s="371" t="s">
        <v>244</v>
      </c>
      <c r="H44" s="158" t="str">
        <f>VLOOKUP(E44,MD!$C$6:$K$58,3,FALSE)</f>
        <v>SBDW</v>
      </c>
      <c r="I44" s="171" t="s">
        <v>424</v>
      </c>
      <c r="J44" s="158" t="str">
        <f>VLOOKUP(G44,MD!$C$6:$K$58,3,FALSE)</f>
        <v>企拍</v>
      </c>
      <c r="K44" s="172">
        <v>2</v>
      </c>
      <c r="L44" s="158">
        <f>21+21</f>
        <v>42</v>
      </c>
      <c r="M44" s="158">
        <f>15+7</f>
        <v>22</v>
      </c>
      <c r="N44" s="158">
        <v>0</v>
      </c>
      <c r="O44" s="354" t="s">
        <v>1179</v>
      </c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0" ht="18.75" customHeight="1">
      <c r="B45" s="381">
        <v>40</v>
      </c>
      <c r="C45" s="387" t="s">
        <v>465</v>
      </c>
      <c r="D45" s="383">
        <v>4</v>
      </c>
      <c r="E45" s="384" t="s">
        <v>172</v>
      </c>
      <c r="F45" s="371" t="s">
        <v>424</v>
      </c>
      <c r="G45" s="372" t="s">
        <v>734</v>
      </c>
      <c r="H45" s="158" t="str">
        <f>VLOOKUP(E45,MD!$C$6:$K$58,3,FALSE)</f>
        <v>培正</v>
      </c>
      <c r="I45" s="171" t="s">
        <v>424</v>
      </c>
      <c r="J45" s="158" t="s">
        <v>810</v>
      </c>
      <c r="K45" s="172">
        <v>2</v>
      </c>
      <c r="L45" s="158">
        <f>21+21</f>
        <v>42</v>
      </c>
      <c r="M45" s="158">
        <f>15+15</f>
        <v>30</v>
      </c>
      <c r="N45" s="158">
        <v>0</v>
      </c>
      <c r="O45" s="354" t="s">
        <v>1171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</row>
    <row r="46" spans="2:30" ht="18.75" customHeight="1">
      <c r="B46" s="379">
        <v>41</v>
      </c>
      <c r="C46" s="387" t="s">
        <v>465</v>
      </c>
      <c r="D46" s="383">
        <v>5</v>
      </c>
      <c r="E46" s="384" t="s">
        <v>244</v>
      </c>
      <c r="F46" s="371" t="s">
        <v>424</v>
      </c>
      <c r="G46" s="372" t="s">
        <v>734</v>
      </c>
      <c r="H46" s="158" t="str">
        <f>VLOOKUP(E46,MD!$C$6:$K$58,3,FALSE)</f>
        <v>企拍</v>
      </c>
      <c r="I46" s="171" t="s">
        <v>424</v>
      </c>
      <c r="J46" s="158" t="s">
        <v>810</v>
      </c>
      <c r="K46" s="172">
        <v>0</v>
      </c>
      <c r="L46" s="158">
        <f>17+18</f>
        <v>35</v>
      </c>
      <c r="M46" s="158">
        <f>21+21</f>
        <v>42</v>
      </c>
      <c r="N46" s="158">
        <v>2</v>
      </c>
      <c r="O46" s="354" t="s">
        <v>1168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</row>
    <row r="47" spans="2:30" ht="18.75" customHeight="1">
      <c r="B47" s="381">
        <v>42</v>
      </c>
      <c r="C47" s="376" t="s">
        <v>465</v>
      </c>
      <c r="D47" s="377">
        <v>6</v>
      </c>
      <c r="E47" s="386" t="s">
        <v>153</v>
      </c>
      <c r="F47" s="378" t="s">
        <v>424</v>
      </c>
      <c r="G47" s="378" t="s">
        <v>172</v>
      </c>
      <c r="H47" s="158" t="str">
        <f>VLOOKUP(E47,MD!$C$6:$K$58,3,FALSE)</f>
        <v>SBDW</v>
      </c>
      <c r="I47" s="171" t="s">
        <v>424</v>
      </c>
      <c r="J47" s="158" t="str">
        <f>VLOOKUP(G47,MD!$C$6:$K$58,3,FALSE)</f>
        <v>培正</v>
      </c>
      <c r="K47" s="172">
        <v>2</v>
      </c>
      <c r="L47" s="158">
        <f>21+21</f>
        <v>42</v>
      </c>
      <c r="M47" s="158">
        <v>0</v>
      </c>
      <c r="N47" s="158">
        <v>0</v>
      </c>
      <c r="O47" s="354" t="s">
        <v>1175</v>
      </c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</row>
    <row r="48" spans="2:30" ht="18.75" customHeight="1">
      <c r="B48" s="379">
        <v>43</v>
      </c>
      <c r="C48" s="387" t="s">
        <v>466</v>
      </c>
      <c r="D48" s="383">
        <v>1</v>
      </c>
      <c r="E48" s="384" t="s">
        <v>160</v>
      </c>
      <c r="F48" s="371" t="s">
        <v>424</v>
      </c>
      <c r="G48" s="372" t="s">
        <v>771</v>
      </c>
      <c r="H48" s="158" t="str">
        <f>VLOOKUP(E48,MD!$C$6:$K$58,3,FALSE)</f>
        <v>SLD</v>
      </c>
      <c r="I48" s="171" t="s">
        <v>424</v>
      </c>
      <c r="J48" s="158" t="s">
        <v>336</v>
      </c>
      <c r="K48" s="172">
        <v>2</v>
      </c>
      <c r="L48" s="158">
        <f>21+25</f>
        <v>46</v>
      </c>
      <c r="M48" s="158">
        <f>12+23</f>
        <v>35</v>
      </c>
      <c r="N48" s="158">
        <v>0</v>
      </c>
      <c r="O48" s="354" t="s">
        <v>1180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</row>
    <row r="49" spans="2:30" ht="18.75" customHeight="1">
      <c r="B49" s="381">
        <v>44</v>
      </c>
      <c r="C49" s="387" t="s">
        <v>466</v>
      </c>
      <c r="D49" s="383">
        <v>2</v>
      </c>
      <c r="E49" s="384" t="s">
        <v>166</v>
      </c>
      <c r="F49" s="371" t="s">
        <v>424</v>
      </c>
      <c r="G49" s="372" t="s">
        <v>270</v>
      </c>
      <c r="H49" s="158" t="str">
        <f>VLOOKUP(E49,MD!$C$6:$K$58,3,FALSE)</f>
        <v>Alps 大埔</v>
      </c>
      <c r="I49" s="171" t="s">
        <v>424</v>
      </c>
      <c r="J49" s="158" t="str">
        <f>VLOOKUP(G49,MD!$C$6:$K$58,3,FALSE)</f>
        <v>LM</v>
      </c>
      <c r="K49" s="172">
        <v>2</v>
      </c>
      <c r="L49" s="158">
        <f>21+21</f>
        <v>42</v>
      </c>
      <c r="M49" s="158">
        <f>6+7</f>
        <v>13</v>
      </c>
      <c r="N49" s="158">
        <v>0</v>
      </c>
      <c r="O49" s="354" t="s">
        <v>1173</v>
      </c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</row>
    <row r="50" spans="2:30" ht="18.75" customHeight="1">
      <c r="B50" s="381">
        <v>45</v>
      </c>
      <c r="C50" s="369" t="s">
        <v>466</v>
      </c>
      <c r="D50" s="370">
        <v>3</v>
      </c>
      <c r="E50" s="371" t="s">
        <v>160</v>
      </c>
      <c r="F50" s="371" t="s">
        <v>424</v>
      </c>
      <c r="G50" s="371" t="s">
        <v>270</v>
      </c>
      <c r="H50" s="158" t="str">
        <f>VLOOKUP(E50,MD!$C$6:$K$58,3,FALSE)</f>
        <v>SLD</v>
      </c>
      <c r="I50" s="171" t="s">
        <v>424</v>
      </c>
      <c r="J50" s="158" t="str">
        <f>VLOOKUP(G50,MD!$C$6:$K$58,3,FALSE)</f>
        <v>LM</v>
      </c>
      <c r="K50" s="172">
        <v>2</v>
      </c>
      <c r="L50" s="158">
        <f>21+21</f>
        <v>42</v>
      </c>
      <c r="M50" s="158">
        <f>11+14</f>
        <v>25</v>
      </c>
      <c r="N50" s="158">
        <v>0</v>
      </c>
      <c r="O50" s="354" t="s">
        <v>1178</v>
      </c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</row>
    <row r="51" spans="2:30" ht="18.75" customHeight="1">
      <c r="B51" s="381">
        <v>46</v>
      </c>
      <c r="C51" s="387" t="s">
        <v>466</v>
      </c>
      <c r="D51" s="383">
        <v>4</v>
      </c>
      <c r="E51" s="384" t="s">
        <v>166</v>
      </c>
      <c r="F51" s="371" t="s">
        <v>424</v>
      </c>
      <c r="G51" s="372" t="s">
        <v>771</v>
      </c>
      <c r="H51" s="158" t="str">
        <f>VLOOKUP(E51,MD!$C$6:$K$58,3,FALSE)</f>
        <v>Alps 大埔</v>
      </c>
      <c r="I51" s="171" t="s">
        <v>424</v>
      </c>
      <c r="J51" s="158" t="s">
        <v>336</v>
      </c>
      <c r="K51" s="172">
        <v>2</v>
      </c>
      <c r="L51" s="158">
        <f>21+22</f>
        <v>43</v>
      </c>
      <c r="M51" s="158">
        <f>17+20</f>
        <v>37</v>
      </c>
      <c r="N51" s="158">
        <v>0</v>
      </c>
      <c r="O51" s="354" t="s">
        <v>1170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</row>
    <row r="52" spans="2:30" ht="18.75" customHeight="1">
      <c r="B52" s="379">
        <v>47</v>
      </c>
      <c r="C52" s="387" t="s">
        <v>466</v>
      </c>
      <c r="D52" s="383">
        <v>5</v>
      </c>
      <c r="E52" s="384" t="s">
        <v>270</v>
      </c>
      <c r="F52" s="371" t="s">
        <v>424</v>
      </c>
      <c r="G52" s="372" t="s">
        <v>771</v>
      </c>
      <c r="H52" s="158" t="str">
        <f>VLOOKUP(E52,MD!$C$6:$K$58,3,FALSE)</f>
        <v>LM</v>
      </c>
      <c r="I52" s="171" t="s">
        <v>424</v>
      </c>
      <c r="J52" s="158" t="s">
        <v>336</v>
      </c>
      <c r="K52" s="172">
        <v>2</v>
      </c>
      <c r="L52" s="158">
        <f>21+21</f>
        <v>42</v>
      </c>
      <c r="M52" s="158">
        <v>0</v>
      </c>
      <c r="N52" s="158">
        <v>0</v>
      </c>
      <c r="O52" s="354" t="s">
        <v>1167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</row>
    <row r="53" spans="2:30" ht="18.75" customHeight="1">
      <c r="B53" s="381">
        <v>48</v>
      </c>
      <c r="C53" s="389" t="s">
        <v>466</v>
      </c>
      <c r="D53" s="377">
        <v>6</v>
      </c>
      <c r="E53" s="386" t="s">
        <v>160</v>
      </c>
      <c r="F53" s="378" t="s">
        <v>424</v>
      </c>
      <c r="G53" s="378" t="s">
        <v>166</v>
      </c>
      <c r="H53" s="158" t="str">
        <f>VLOOKUP(E53,MD!$C$6:$K$58,3,FALSE)</f>
        <v>SLD</v>
      </c>
      <c r="I53" s="171" t="s">
        <v>424</v>
      </c>
      <c r="J53" s="158" t="str">
        <f>VLOOKUP(G53,MD!$C$6:$K$58,3,FALSE)</f>
        <v>Alps 大埔</v>
      </c>
      <c r="K53" s="172">
        <v>1</v>
      </c>
      <c r="L53" s="158">
        <f>9+21</f>
        <v>30</v>
      </c>
      <c r="M53" s="158">
        <f>21+13</f>
        <v>34</v>
      </c>
      <c r="N53" s="158">
        <v>1</v>
      </c>
      <c r="O53" s="639" t="s">
        <v>1223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</row>
    <row r="54" spans="3:30" ht="17.25" hidden="1">
      <c r="C54" s="390"/>
      <c r="D54" s="390"/>
      <c r="E54" s="391"/>
      <c r="F54" s="391"/>
      <c r="G54" s="391"/>
      <c r="H54" s="392" t="e">
        <f>VLOOKUP(E54,#REF!,3,FALSE)</f>
        <v>#REF!</v>
      </c>
      <c r="J54" s="392" t="e">
        <f>VLOOKUP(G54,MD!$C$6:$K$58,3,FALSE)</f>
        <v>#N/A</v>
      </c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</row>
    <row r="55" spans="16:30" ht="17.25"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</row>
  </sheetData>
  <sheetProtection selectLockedCells="1" selectUnlockedCells="1"/>
  <mergeCells count="3">
    <mergeCell ref="H3:J3"/>
    <mergeCell ref="E4:G4"/>
    <mergeCell ref="E5:G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7">
      <selection activeCell="E46" sqref="E46"/>
    </sheetView>
  </sheetViews>
  <sheetFormatPr defaultColWidth="8.796875" defaultRowHeight="15"/>
  <cols>
    <col min="1" max="1" width="8.8984375" style="595" customWidth="1"/>
    <col min="2" max="2" width="17.796875" style="595" customWidth="1"/>
    <col min="3" max="16384" width="8.8984375" style="595" customWidth="1"/>
  </cols>
  <sheetData>
    <row r="1" spans="1:5" ht="20.25" thickBot="1">
      <c r="A1" s="589" t="s">
        <v>1215</v>
      </c>
      <c r="B1" s="590"/>
      <c r="C1" s="590"/>
      <c r="D1" s="590"/>
      <c r="E1" s="590"/>
    </row>
    <row r="2" spans="1:5" ht="18" thickTop="1">
      <c r="A2" s="590"/>
      <c r="B2" s="590"/>
      <c r="C2" s="590"/>
      <c r="D2" s="590"/>
      <c r="E2" s="590"/>
    </row>
    <row r="3" spans="1:5" ht="17.25">
      <c r="A3" s="591" t="s">
        <v>1208</v>
      </c>
      <c r="B3" s="591" t="s">
        <v>1209</v>
      </c>
      <c r="C3" s="591" t="s">
        <v>1210</v>
      </c>
      <c r="D3" s="591" t="s">
        <v>1210</v>
      </c>
      <c r="E3" s="591" t="s">
        <v>415</v>
      </c>
    </row>
    <row r="4" spans="1:5" ht="17.25">
      <c r="A4" s="590">
        <v>1</v>
      </c>
      <c r="B4" s="595" t="s">
        <v>148</v>
      </c>
      <c r="C4" s="595" t="s">
        <v>149</v>
      </c>
      <c r="D4" s="595" t="s">
        <v>151</v>
      </c>
      <c r="E4" s="590">
        <v>120</v>
      </c>
    </row>
    <row r="5" spans="1:5" ht="17.25">
      <c r="A5" s="590">
        <v>2</v>
      </c>
      <c r="B5" s="595" t="s">
        <v>112</v>
      </c>
      <c r="C5" s="595" t="s">
        <v>113</v>
      </c>
      <c r="D5" s="595" t="s">
        <v>115</v>
      </c>
      <c r="E5" s="590">
        <v>108</v>
      </c>
    </row>
    <row r="6" spans="1:5" ht="17.25">
      <c r="A6" s="590">
        <v>3</v>
      </c>
      <c r="B6" s="595" t="s">
        <v>124</v>
      </c>
      <c r="C6" s="595" t="s">
        <v>125</v>
      </c>
      <c r="D6" s="595" t="s">
        <v>127</v>
      </c>
      <c r="E6" s="590">
        <v>96</v>
      </c>
    </row>
    <row r="7" spans="1:5" ht="17.25">
      <c r="A7" s="590">
        <v>4</v>
      </c>
      <c r="B7" s="595" t="s">
        <v>136</v>
      </c>
      <c r="C7" s="595" t="s">
        <v>137</v>
      </c>
      <c r="D7" s="595" t="s">
        <v>139</v>
      </c>
      <c r="E7" s="590">
        <v>84</v>
      </c>
    </row>
    <row r="8" spans="1:5" ht="17.25">
      <c r="A8" s="590">
        <v>5</v>
      </c>
      <c r="B8" s="595" t="s">
        <v>1172</v>
      </c>
      <c r="C8" s="595" t="s">
        <v>162</v>
      </c>
      <c r="D8" s="595" t="s">
        <v>164</v>
      </c>
      <c r="E8" s="590">
        <v>72</v>
      </c>
    </row>
    <row r="9" spans="1:5" ht="17.25">
      <c r="A9" s="590">
        <v>6</v>
      </c>
      <c r="B9" s="595" t="s">
        <v>294</v>
      </c>
      <c r="C9" s="595" t="s">
        <v>295</v>
      </c>
      <c r="D9" s="595" t="s">
        <v>297</v>
      </c>
      <c r="E9" s="590">
        <v>72</v>
      </c>
    </row>
    <row r="10" spans="1:5" ht="17.25">
      <c r="A10" s="590">
        <v>7</v>
      </c>
      <c r="B10" s="595" t="s">
        <v>130</v>
      </c>
      <c r="C10" s="595" t="s">
        <v>131</v>
      </c>
      <c r="D10" s="595" t="s">
        <v>133</v>
      </c>
      <c r="E10" s="590">
        <v>72</v>
      </c>
    </row>
    <row r="11" spans="1:5" ht="17.25">
      <c r="A11" s="590">
        <v>8</v>
      </c>
      <c r="B11" s="595" t="s">
        <v>174</v>
      </c>
      <c r="C11" s="595" t="s">
        <v>175</v>
      </c>
      <c r="D11" s="595" t="s">
        <v>177</v>
      </c>
      <c r="E11" s="590">
        <v>72</v>
      </c>
    </row>
    <row r="12" spans="1:5" ht="17.25">
      <c r="A12" s="595">
        <v>9</v>
      </c>
      <c r="B12" s="595" t="s">
        <v>167</v>
      </c>
      <c r="C12" s="595" t="s">
        <v>168</v>
      </c>
      <c r="D12" s="595" t="s">
        <v>170</v>
      </c>
      <c r="E12" s="595">
        <v>54</v>
      </c>
    </row>
    <row r="13" spans="1:5" ht="17.25">
      <c r="A13" s="590">
        <v>10</v>
      </c>
      <c r="B13" s="595" t="s">
        <v>277</v>
      </c>
      <c r="C13" s="595" t="s">
        <v>278</v>
      </c>
      <c r="D13" s="595" t="s">
        <v>280</v>
      </c>
      <c r="E13" s="595">
        <v>54</v>
      </c>
    </row>
    <row r="14" spans="1:5" ht="17.25">
      <c r="A14" s="595">
        <v>11</v>
      </c>
      <c r="B14" s="595" t="s">
        <v>221</v>
      </c>
      <c r="C14" s="595" t="s">
        <v>222</v>
      </c>
      <c r="D14" s="595" t="s">
        <v>224</v>
      </c>
      <c r="E14" s="595">
        <v>54</v>
      </c>
    </row>
    <row r="15" spans="1:5" ht="17.25">
      <c r="A15" s="590">
        <v>12</v>
      </c>
      <c r="B15" s="595" t="s">
        <v>142</v>
      </c>
      <c r="C15" s="595" t="s">
        <v>143</v>
      </c>
      <c r="D15" s="595" t="s">
        <v>145</v>
      </c>
      <c r="E15" s="595">
        <v>54</v>
      </c>
    </row>
    <row r="16" spans="1:5" ht="17.25">
      <c r="A16" s="595">
        <v>13</v>
      </c>
      <c r="B16" s="595" t="s">
        <v>204</v>
      </c>
      <c r="C16" s="595" t="s">
        <v>205</v>
      </c>
      <c r="D16" s="595" t="s">
        <v>207</v>
      </c>
      <c r="E16" s="595">
        <v>54</v>
      </c>
    </row>
    <row r="17" spans="1:5" ht="17.25">
      <c r="A17" s="590">
        <v>14</v>
      </c>
      <c r="B17" s="595" t="s">
        <v>180</v>
      </c>
      <c r="C17" s="595" t="s">
        <v>181</v>
      </c>
      <c r="D17" s="595" t="s">
        <v>183</v>
      </c>
      <c r="E17" s="595">
        <v>54</v>
      </c>
    </row>
    <row r="18" spans="1:5" ht="17.25">
      <c r="A18" s="595">
        <v>15</v>
      </c>
      <c r="B18" s="595" t="s">
        <v>155</v>
      </c>
      <c r="C18" s="595" t="s">
        <v>156</v>
      </c>
      <c r="D18" s="595" t="s">
        <v>158</v>
      </c>
      <c r="E18" s="595">
        <v>54</v>
      </c>
    </row>
    <row r="19" spans="1:5" ht="17.25">
      <c r="A19" s="590">
        <v>16</v>
      </c>
      <c r="B19" s="595" t="s">
        <v>198</v>
      </c>
      <c r="C19" s="595" t="s">
        <v>199</v>
      </c>
      <c r="D19" s="595" t="s">
        <v>201</v>
      </c>
      <c r="E19" s="595">
        <v>54</v>
      </c>
    </row>
    <row r="20" spans="1:5" ht="17.25">
      <c r="A20" s="595">
        <v>17</v>
      </c>
      <c r="B20" s="595" t="s">
        <v>210</v>
      </c>
      <c r="C20" s="595" t="s">
        <v>211</v>
      </c>
      <c r="D20" s="595" t="s">
        <v>213</v>
      </c>
      <c r="E20" s="595">
        <v>48</v>
      </c>
    </row>
    <row r="21" spans="1:5" ht="17.25">
      <c r="A21" s="590">
        <v>18</v>
      </c>
      <c r="B21" s="595" t="s">
        <v>118</v>
      </c>
      <c r="C21" s="595" t="s">
        <v>119</v>
      </c>
      <c r="D21" s="595" t="s">
        <v>121</v>
      </c>
      <c r="E21" s="595">
        <v>48</v>
      </c>
    </row>
    <row r="22" spans="1:5" ht="17.25">
      <c r="A22" s="595">
        <v>19</v>
      </c>
      <c r="B22" s="595" t="s">
        <v>192</v>
      </c>
      <c r="C22" s="595" t="s">
        <v>193</v>
      </c>
      <c r="D22" s="595" t="s">
        <v>195</v>
      </c>
      <c r="E22" s="595">
        <v>48</v>
      </c>
    </row>
    <row r="23" spans="1:5" ht="17.25">
      <c r="A23" s="590">
        <v>20</v>
      </c>
      <c r="B23" s="595" t="s">
        <v>227</v>
      </c>
      <c r="C23" s="595" t="s">
        <v>228</v>
      </c>
      <c r="D23" s="595" t="s">
        <v>230</v>
      </c>
      <c r="E23" s="595">
        <v>48</v>
      </c>
    </row>
    <row r="24" spans="1:5" ht="17.25">
      <c r="A24" s="595">
        <v>21</v>
      </c>
      <c r="B24" s="595" t="s">
        <v>283</v>
      </c>
      <c r="C24" s="595" t="s">
        <v>284</v>
      </c>
      <c r="D24" s="595" t="s">
        <v>286</v>
      </c>
      <c r="E24" s="595">
        <v>48</v>
      </c>
    </row>
    <row r="25" spans="1:5" ht="17.25">
      <c r="A25" s="590">
        <v>22</v>
      </c>
      <c r="B25" s="595" t="s">
        <v>346</v>
      </c>
      <c r="C25" s="595" t="s">
        <v>347</v>
      </c>
      <c r="D25" s="595" t="s">
        <v>348</v>
      </c>
      <c r="E25" s="595">
        <v>48</v>
      </c>
    </row>
    <row r="26" spans="1:5" ht="17.25">
      <c r="A26" s="595">
        <v>23</v>
      </c>
      <c r="B26" s="595" t="s">
        <v>810</v>
      </c>
      <c r="C26" s="595" t="s">
        <v>260</v>
      </c>
      <c r="D26" s="595" t="s">
        <v>262</v>
      </c>
      <c r="E26" s="595">
        <v>48</v>
      </c>
    </row>
    <row r="27" spans="1:5" ht="17.25">
      <c r="A27" s="590">
        <v>24</v>
      </c>
      <c r="B27" s="595" t="s">
        <v>265</v>
      </c>
      <c r="C27" s="595" t="s">
        <v>266</v>
      </c>
      <c r="D27" s="595" t="s">
        <v>268</v>
      </c>
      <c r="E27" s="595">
        <v>48</v>
      </c>
    </row>
    <row r="28" spans="1:5" ht="17.25">
      <c r="A28" s="595">
        <v>25</v>
      </c>
      <c r="B28" s="595" t="s">
        <v>216</v>
      </c>
      <c r="C28" s="595" t="s">
        <v>217</v>
      </c>
      <c r="D28" s="595" t="s">
        <v>219</v>
      </c>
      <c r="E28" s="595">
        <v>36</v>
      </c>
    </row>
    <row r="29" spans="1:5" ht="17.25">
      <c r="A29" s="590">
        <v>26</v>
      </c>
      <c r="B29" s="595" t="s">
        <v>324</v>
      </c>
      <c r="C29" s="595" t="s">
        <v>325</v>
      </c>
      <c r="D29" s="595" t="s">
        <v>326</v>
      </c>
      <c r="E29" s="595">
        <v>36</v>
      </c>
    </row>
    <row r="30" spans="1:5" ht="17.25">
      <c r="A30" s="595">
        <v>27</v>
      </c>
      <c r="B30" s="595" t="s">
        <v>186</v>
      </c>
      <c r="C30" s="595" t="s">
        <v>187</v>
      </c>
      <c r="D30" s="595" t="s">
        <v>189</v>
      </c>
      <c r="E30" s="595">
        <v>36</v>
      </c>
    </row>
    <row r="31" spans="1:5" ht="17.25">
      <c r="A31" s="590">
        <v>28</v>
      </c>
      <c r="B31" s="595" t="s">
        <v>1160</v>
      </c>
      <c r="C31" s="595" t="s">
        <v>234</v>
      </c>
      <c r="D31" s="595" t="s">
        <v>236</v>
      </c>
      <c r="E31" s="595">
        <v>36</v>
      </c>
    </row>
    <row r="32" spans="1:5" ht="17.25">
      <c r="A32" s="595">
        <v>29</v>
      </c>
      <c r="B32" s="595" t="s">
        <v>1159</v>
      </c>
      <c r="C32" s="595" t="s">
        <v>247</v>
      </c>
      <c r="D32" s="595" t="s">
        <v>249</v>
      </c>
      <c r="E32" s="595">
        <v>36</v>
      </c>
    </row>
    <row r="33" spans="1:5" ht="17.25">
      <c r="A33" s="590">
        <v>30</v>
      </c>
      <c r="B33" s="595" t="s">
        <v>239</v>
      </c>
      <c r="C33" s="595" t="s">
        <v>240</v>
      </c>
      <c r="D33" s="595" t="s">
        <v>242</v>
      </c>
      <c r="E33" s="595">
        <v>36</v>
      </c>
    </row>
    <row r="34" spans="1:5" ht="17.25">
      <c r="A34" s="595">
        <v>31</v>
      </c>
      <c r="B34" s="595" t="s">
        <v>336</v>
      </c>
      <c r="C34" s="595" t="s">
        <v>337</v>
      </c>
      <c r="D34" s="595" t="s">
        <v>339</v>
      </c>
      <c r="E34" s="595">
        <v>36</v>
      </c>
    </row>
    <row r="35" spans="1:5" ht="17.25">
      <c r="A35" s="595" t="s">
        <v>610</v>
      </c>
      <c r="B35" s="595" t="s">
        <v>252</v>
      </c>
      <c r="C35" s="595" t="s">
        <v>253</v>
      </c>
      <c r="D35" s="595" t="s">
        <v>255</v>
      </c>
      <c r="E35" s="595">
        <v>6</v>
      </c>
    </row>
    <row r="36" spans="1:5" ht="17.25">
      <c r="A36" s="595" t="s">
        <v>610</v>
      </c>
      <c r="B36" s="595" t="s">
        <v>315</v>
      </c>
      <c r="C36" s="595" t="s">
        <v>316</v>
      </c>
      <c r="D36" s="595" t="s">
        <v>317</v>
      </c>
      <c r="E36" s="595">
        <v>6</v>
      </c>
    </row>
    <row r="37" spans="1:5" ht="17.25">
      <c r="A37" s="595" t="s">
        <v>610</v>
      </c>
      <c r="B37" s="595" t="s">
        <v>360</v>
      </c>
      <c r="C37" s="595" t="s">
        <v>361</v>
      </c>
      <c r="D37" s="595" t="s">
        <v>363</v>
      </c>
      <c r="E37" s="595">
        <v>6</v>
      </c>
    </row>
    <row r="38" spans="1:5" ht="17.25">
      <c r="A38" s="595" t="s">
        <v>610</v>
      </c>
      <c r="B38" s="595" t="s">
        <v>332</v>
      </c>
      <c r="C38" s="595" t="s">
        <v>333</v>
      </c>
      <c r="D38" s="595" t="s">
        <v>334</v>
      </c>
      <c r="E38" s="595">
        <v>6</v>
      </c>
    </row>
    <row r="39" spans="1:5" ht="17.25">
      <c r="A39" s="595" t="s">
        <v>610</v>
      </c>
      <c r="B39" s="595" t="s">
        <v>271</v>
      </c>
      <c r="C39" s="595" t="s">
        <v>272</v>
      </c>
      <c r="D39" s="595" t="s">
        <v>274</v>
      </c>
      <c r="E39" s="595">
        <v>6</v>
      </c>
    </row>
    <row r="40" spans="1:5" ht="17.25">
      <c r="A40" s="595" t="s">
        <v>610</v>
      </c>
      <c r="B40" s="595" t="s">
        <v>289</v>
      </c>
      <c r="C40" s="595" t="s">
        <v>290</v>
      </c>
      <c r="D40" s="595" t="s">
        <v>292</v>
      </c>
      <c r="E40" s="595">
        <v>6</v>
      </c>
    </row>
    <row r="41" spans="1:5" ht="17.25">
      <c r="A41" s="595" t="s">
        <v>610</v>
      </c>
      <c r="B41" s="595" t="s">
        <v>300</v>
      </c>
      <c r="C41" s="595" t="s">
        <v>301</v>
      </c>
      <c r="D41" s="595" t="s">
        <v>302</v>
      </c>
      <c r="E41" s="595">
        <v>6</v>
      </c>
    </row>
    <row r="42" spans="1:5" ht="17.25">
      <c r="A42" s="595" t="s">
        <v>610</v>
      </c>
      <c r="B42" s="595" t="s">
        <v>305</v>
      </c>
      <c r="C42" s="595" t="s">
        <v>306</v>
      </c>
      <c r="D42" s="595" t="s">
        <v>308</v>
      </c>
      <c r="E42" s="595">
        <v>6</v>
      </c>
    </row>
    <row r="43" spans="1:5" ht="17.25">
      <c r="A43" s="595" t="s">
        <v>610</v>
      </c>
      <c r="B43" s="595" t="s">
        <v>342</v>
      </c>
      <c r="C43" s="595" t="s">
        <v>343</v>
      </c>
      <c r="D43" s="595" t="s">
        <v>1166</v>
      </c>
      <c r="E43" s="595">
        <v>6</v>
      </c>
    </row>
    <row r="44" spans="1:5" ht="17.25">
      <c r="A44" s="595" t="s">
        <v>610</v>
      </c>
      <c r="B44" s="595" t="s">
        <v>319</v>
      </c>
      <c r="C44" s="595" t="s">
        <v>320</v>
      </c>
      <c r="D44" s="595" t="s">
        <v>321</v>
      </c>
      <c r="E44" s="595">
        <v>6</v>
      </c>
    </row>
    <row r="45" spans="1:5" ht="17.25">
      <c r="A45" s="595" t="s">
        <v>610</v>
      </c>
      <c r="B45" s="595" t="s">
        <v>311</v>
      </c>
      <c r="C45" s="595" t="s">
        <v>312</v>
      </c>
      <c r="D45" s="595" t="s">
        <v>313</v>
      </c>
      <c r="E45" s="595">
        <v>6</v>
      </c>
    </row>
    <row r="46" spans="1:5" ht="17.25">
      <c r="A46" s="595" t="s">
        <v>610</v>
      </c>
      <c r="B46" s="595" t="s">
        <v>328</v>
      </c>
      <c r="C46" s="595" t="s">
        <v>329</v>
      </c>
      <c r="D46" s="595" t="s">
        <v>330</v>
      </c>
      <c r="E46" s="595">
        <v>6</v>
      </c>
    </row>
    <row r="47" spans="1:5" ht="17.25">
      <c r="A47" s="595" t="s">
        <v>515</v>
      </c>
      <c r="B47" s="595" t="s">
        <v>351</v>
      </c>
      <c r="C47" s="595" t="s">
        <v>352</v>
      </c>
      <c r="D47" s="595" t="s">
        <v>354</v>
      </c>
      <c r="E47" s="595" t="s">
        <v>515</v>
      </c>
    </row>
    <row r="48" spans="1:5" ht="17.25">
      <c r="A48" s="595" t="s">
        <v>515</v>
      </c>
      <c r="B48" s="595" t="s">
        <v>356</v>
      </c>
      <c r="C48" s="595" t="s">
        <v>357</v>
      </c>
      <c r="D48" s="595" t="s">
        <v>358</v>
      </c>
      <c r="E48" s="595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VBAHK_V-ba2</dc:creator>
  <cp:keywords/>
  <dc:description/>
  <cp:lastModifiedBy>VBAHK_V-ba2</cp:lastModifiedBy>
  <dcterms:created xsi:type="dcterms:W3CDTF">2021-08-03T08:00:25Z</dcterms:created>
  <dcterms:modified xsi:type="dcterms:W3CDTF">2021-09-09T14:06:58Z</dcterms:modified>
  <cp:category/>
  <cp:version/>
  <cp:contentType/>
  <cp:contentStatus/>
</cp:coreProperties>
</file>