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77DB42-7877-46CF-A01F-A9F55D125B40}" xr6:coauthVersionLast="44" xr6:coauthVersionMax="44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須知" sheetId="1" r:id="rId1"/>
    <sheet name="MD" sheetId="2" r:id="rId2"/>
    <sheet name="MBFormat" sheetId="3" r:id="rId3"/>
    <sheet name="男乙賽程" sheetId="4" r:id="rId4"/>
    <sheet name="WD" sheetId="5" r:id="rId5"/>
    <sheet name="WBFormat" sheetId="6" r:id="rId6"/>
    <sheet name="女乙賽程" sheetId="7" r:id="rId7"/>
    <sheet name="TT" sheetId="8" r:id="rId8"/>
  </sheets>
  <externalReferences>
    <externalReference r:id="rId9"/>
  </externalReferences>
  <definedNames>
    <definedName name="Excel_BuiltIn__FilterDatabase" localSheetId="1">MD!$A$5:$R$5</definedName>
    <definedName name="Excel_BuiltIn__FilterDatabase" localSheetId="4">WD!$A$5:$V$5</definedName>
    <definedName name="Excel_BuiltIn__FilterDatabase">WD!$A$5:$U$5</definedName>
    <definedName name="Excel_BuiltIn_Print_Area" localSheetId="2">MBFormat!$B$1:$L$77</definedName>
    <definedName name="_xlnm.Print_Area" localSheetId="1">MD!$B$1:$O$95</definedName>
    <definedName name="_xlnm.Print_Area" localSheetId="5">WBFormat!$B$1:$L$78</definedName>
    <definedName name="_xlnm.Print_Area" localSheetId="4">WD!$A$1:$O$66</definedName>
    <definedName name="_xlnm.Print_Area" localSheetId="6">女乙賽程!$A$1:$O$41</definedName>
    <definedName name="_xlnm.Print_Area" localSheetId="3">男乙賽程!$A$1:$O$54</definedName>
    <definedName name="_xlnm.Print_Area" localSheetId="0">須知!$A$1:$B$55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35" i="7" l="1"/>
  <c r="W35" i="7"/>
  <c r="AD34" i="7"/>
  <c r="W34" i="7"/>
  <c r="AD33" i="7"/>
  <c r="W33" i="7"/>
  <c r="AD32" i="7"/>
  <c r="W32" i="7"/>
  <c r="AD31" i="7"/>
  <c r="W31" i="7"/>
  <c r="A29" i="7"/>
  <c r="M28" i="7"/>
  <c r="L28" i="7"/>
  <c r="A28" i="7"/>
  <c r="A27" i="7"/>
  <c r="M26" i="7"/>
  <c r="L26" i="7"/>
  <c r="A26" i="7"/>
  <c r="AD25" i="7"/>
  <c r="A25" i="7"/>
  <c r="AD24" i="7"/>
  <c r="W24" i="7"/>
  <c r="M24" i="7"/>
  <c r="L24" i="7"/>
  <c r="A24" i="7"/>
  <c r="AD23" i="7"/>
  <c r="W23" i="7"/>
  <c r="M23" i="7"/>
  <c r="L23" i="7"/>
  <c r="A23" i="7"/>
  <c r="AD22" i="7"/>
  <c r="W22" i="7"/>
  <c r="A22" i="7"/>
  <c r="AD21" i="7"/>
  <c r="W21" i="7"/>
  <c r="A21" i="7"/>
  <c r="AD20" i="7"/>
  <c r="W20" i="7"/>
  <c r="M20" i="7"/>
  <c r="L20" i="7"/>
  <c r="A20" i="7"/>
  <c r="M19" i="7"/>
  <c r="L19" i="7"/>
  <c r="A19" i="7"/>
  <c r="M17" i="7"/>
  <c r="L17" i="7"/>
  <c r="H17" i="7"/>
  <c r="M14" i="7"/>
  <c r="L14" i="7"/>
  <c r="H14" i="7"/>
  <c r="AD13" i="7"/>
  <c r="W13" i="7"/>
  <c r="M13" i="7"/>
  <c r="L13" i="7"/>
  <c r="AD11" i="7"/>
  <c r="W11" i="7"/>
  <c r="M11" i="7"/>
  <c r="L11" i="7"/>
  <c r="H11" i="7"/>
  <c r="AD10" i="7"/>
  <c r="W10" i="7"/>
  <c r="A10" i="7"/>
  <c r="AD9" i="7"/>
  <c r="W9" i="7"/>
  <c r="A9" i="7"/>
  <c r="AD8" i="7"/>
  <c r="W8" i="7"/>
  <c r="M8" i="7"/>
  <c r="L8" i="7"/>
  <c r="H8" i="7"/>
  <c r="A8" i="7"/>
  <c r="M7" i="7"/>
  <c r="L7" i="7"/>
  <c r="A7" i="7"/>
  <c r="A6" i="7"/>
  <c r="C72" i="6"/>
  <c r="C26" i="6" s="1"/>
  <c r="C71" i="6"/>
  <c r="C58" i="6" s="1"/>
  <c r="F59" i="6" s="1"/>
  <c r="C70" i="6"/>
  <c r="C69" i="6"/>
  <c r="C62" i="6"/>
  <c r="L61" i="6"/>
  <c r="C50" i="6"/>
  <c r="F48" i="6" s="1"/>
  <c r="C46" i="6"/>
  <c r="J41" i="6"/>
  <c r="C38" i="6"/>
  <c r="F36" i="6" s="1"/>
  <c r="C34" i="6"/>
  <c r="F25" i="6"/>
  <c r="C22" i="6"/>
  <c r="K71" i="5"/>
  <c r="H71" i="5"/>
  <c r="L71" i="5" s="1"/>
  <c r="C71" i="5"/>
  <c r="K70" i="5"/>
  <c r="H70" i="5"/>
  <c r="L70" i="5" s="1"/>
  <c r="C70" i="5"/>
  <c r="K69" i="5"/>
  <c r="H69" i="5"/>
  <c r="L69" i="5" s="1"/>
  <c r="C69" i="5"/>
  <c r="K68" i="5"/>
  <c r="H68" i="5"/>
  <c r="L68" i="5" s="1"/>
  <c r="C68" i="5"/>
  <c r="K67" i="5"/>
  <c r="H67" i="5"/>
  <c r="L67" i="5" s="1"/>
  <c r="C67" i="5"/>
  <c r="K66" i="5"/>
  <c r="H66" i="5"/>
  <c r="L66" i="5" s="1"/>
  <c r="C66" i="5"/>
  <c r="K65" i="5"/>
  <c r="H65" i="5"/>
  <c r="L65" i="5" s="1"/>
  <c r="C65" i="5"/>
  <c r="K64" i="5"/>
  <c r="H64" i="5"/>
  <c r="L64" i="5" s="1"/>
  <c r="C64" i="5"/>
  <c r="K63" i="5"/>
  <c r="H63" i="5"/>
  <c r="L63" i="5" s="1"/>
  <c r="C63" i="5"/>
  <c r="K62" i="5"/>
  <c r="H62" i="5"/>
  <c r="L62" i="5" s="1"/>
  <c r="C62" i="5"/>
  <c r="K61" i="5"/>
  <c r="H61" i="5"/>
  <c r="L61" i="5" s="1"/>
  <c r="C61" i="5"/>
  <c r="K60" i="5"/>
  <c r="H60" i="5"/>
  <c r="L60" i="5" s="1"/>
  <c r="C60" i="5"/>
  <c r="K59" i="5"/>
  <c r="H59" i="5"/>
  <c r="L59" i="5" s="1"/>
  <c r="C59" i="5"/>
  <c r="K58" i="5"/>
  <c r="H58" i="5"/>
  <c r="L58" i="5" s="1"/>
  <c r="C58" i="5"/>
  <c r="K57" i="5"/>
  <c r="H57" i="5"/>
  <c r="L57" i="5" s="1"/>
  <c r="C57" i="5"/>
  <c r="K56" i="5"/>
  <c r="H56" i="5"/>
  <c r="L56" i="5" s="1"/>
  <c r="C56" i="5"/>
  <c r="K55" i="5"/>
  <c r="H55" i="5"/>
  <c r="L55" i="5" s="1"/>
  <c r="C55" i="5"/>
  <c r="K54" i="5"/>
  <c r="H54" i="5"/>
  <c r="L54" i="5" s="1"/>
  <c r="C54" i="5"/>
  <c r="K53" i="5"/>
  <c r="H53" i="5"/>
  <c r="L53" i="5" s="1"/>
  <c r="C53" i="5"/>
  <c r="K52" i="5"/>
  <c r="H52" i="5"/>
  <c r="L52" i="5" s="1"/>
  <c r="C52" i="5"/>
  <c r="K51" i="5"/>
  <c r="H51" i="5"/>
  <c r="L51" i="5" s="1"/>
  <c r="C51" i="5"/>
  <c r="K50" i="5"/>
  <c r="H50" i="5"/>
  <c r="L50" i="5" s="1"/>
  <c r="C50" i="5"/>
  <c r="K49" i="5"/>
  <c r="H49" i="5"/>
  <c r="L49" i="5" s="1"/>
  <c r="C49" i="5"/>
  <c r="K48" i="5"/>
  <c r="H48" i="5"/>
  <c r="L48" i="5" s="1"/>
  <c r="C48" i="5"/>
  <c r="K47" i="5"/>
  <c r="H47" i="5"/>
  <c r="L47" i="5" s="1"/>
  <c r="C47" i="5"/>
  <c r="K46" i="5"/>
  <c r="H46" i="5"/>
  <c r="L46" i="5" s="1"/>
  <c r="C46" i="5"/>
  <c r="K45" i="5"/>
  <c r="H45" i="5"/>
  <c r="L45" i="5" s="1"/>
  <c r="C45" i="5"/>
  <c r="K44" i="5"/>
  <c r="H44" i="5"/>
  <c r="L44" i="5" s="1"/>
  <c r="C44" i="5"/>
  <c r="K43" i="5"/>
  <c r="H43" i="5"/>
  <c r="L43" i="5" s="1"/>
  <c r="C43" i="5"/>
  <c r="K42" i="5"/>
  <c r="H42" i="5"/>
  <c r="L42" i="5" s="1"/>
  <c r="C42" i="5"/>
  <c r="K41" i="5"/>
  <c r="H41" i="5"/>
  <c r="L41" i="5" s="1"/>
  <c r="C41" i="5"/>
  <c r="K40" i="5"/>
  <c r="H40" i="5"/>
  <c r="L40" i="5" s="1"/>
  <c r="C40" i="5"/>
  <c r="K39" i="5"/>
  <c r="H39" i="5"/>
  <c r="L39" i="5" s="1"/>
  <c r="C39" i="5"/>
  <c r="K38" i="5"/>
  <c r="H38" i="5"/>
  <c r="L38" i="5" s="1"/>
  <c r="C38" i="5"/>
  <c r="K37" i="5"/>
  <c r="H37" i="5"/>
  <c r="L37" i="5" s="1"/>
  <c r="C37" i="5"/>
  <c r="K36" i="5"/>
  <c r="H36" i="5"/>
  <c r="L36" i="5" s="1"/>
  <c r="C36" i="5"/>
  <c r="K35" i="5"/>
  <c r="H35" i="5"/>
  <c r="L35" i="5" s="1"/>
  <c r="C35" i="5"/>
  <c r="K34" i="5"/>
  <c r="H34" i="5"/>
  <c r="L34" i="5" s="1"/>
  <c r="C34" i="5"/>
  <c r="K33" i="5"/>
  <c r="H33" i="5"/>
  <c r="L33" i="5" s="1"/>
  <c r="C33" i="5"/>
  <c r="K32" i="5"/>
  <c r="H32" i="5"/>
  <c r="L32" i="5" s="1"/>
  <c r="C32" i="5"/>
  <c r="K31" i="5"/>
  <c r="H31" i="5"/>
  <c r="L31" i="5" s="1"/>
  <c r="C31" i="5"/>
  <c r="K30" i="5"/>
  <c r="H30" i="5"/>
  <c r="L30" i="5" s="1"/>
  <c r="C30" i="5"/>
  <c r="K29" i="5"/>
  <c r="H29" i="5"/>
  <c r="L29" i="5" s="1"/>
  <c r="C29" i="5"/>
  <c r="K28" i="5"/>
  <c r="H28" i="5"/>
  <c r="L28" i="5" s="1"/>
  <c r="C28" i="5"/>
  <c r="K27" i="5"/>
  <c r="H27" i="5"/>
  <c r="L27" i="5" s="1"/>
  <c r="C27" i="5"/>
  <c r="K26" i="5"/>
  <c r="H26" i="5"/>
  <c r="L26" i="5" s="1"/>
  <c r="C26" i="5"/>
  <c r="C25" i="5"/>
  <c r="P24" i="5"/>
  <c r="Q24" i="5" s="1"/>
  <c r="L24" i="5"/>
  <c r="C24" i="5"/>
  <c r="P23" i="5"/>
  <c r="Q23" i="5" s="1"/>
  <c r="L23" i="5"/>
  <c r="C23" i="5"/>
  <c r="P22" i="5"/>
  <c r="Q22" i="5" s="1"/>
  <c r="L22" i="5"/>
  <c r="C22" i="5"/>
  <c r="P21" i="5"/>
  <c r="Q21" i="5" s="1"/>
  <c r="L21" i="5"/>
  <c r="C21" i="5"/>
  <c r="P20" i="5"/>
  <c r="Q20" i="5" s="1"/>
  <c r="L20" i="5"/>
  <c r="C20" i="5"/>
  <c r="P19" i="5"/>
  <c r="Q19" i="5" s="1"/>
  <c r="L19" i="5"/>
  <c r="C19" i="5"/>
  <c r="S18" i="5"/>
  <c r="Q18" i="5"/>
  <c r="P18" i="5"/>
  <c r="L18" i="5"/>
  <c r="C18" i="5"/>
  <c r="S17" i="5"/>
  <c r="P17" i="5"/>
  <c r="Q17" i="5" s="1"/>
  <c r="L17" i="5"/>
  <c r="C17" i="5"/>
  <c r="S16" i="5"/>
  <c r="Q16" i="5"/>
  <c r="P16" i="5"/>
  <c r="L16" i="5"/>
  <c r="C16" i="5"/>
  <c r="S15" i="5"/>
  <c r="P15" i="5"/>
  <c r="Q15" i="5" s="1"/>
  <c r="L15" i="5"/>
  <c r="C15" i="5"/>
  <c r="S14" i="5"/>
  <c r="Q14" i="5"/>
  <c r="P14" i="5"/>
  <c r="L14" i="5"/>
  <c r="C14" i="5"/>
  <c r="S13" i="5"/>
  <c r="P13" i="5"/>
  <c r="Q13" i="5" s="1"/>
  <c r="L13" i="5"/>
  <c r="C13" i="5"/>
  <c r="S12" i="5"/>
  <c r="Q12" i="5"/>
  <c r="P12" i="5"/>
  <c r="L12" i="5"/>
  <c r="C12" i="5"/>
  <c r="S11" i="5"/>
  <c r="P11" i="5"/>
  <c r="Q11" i="5" s="1"/>
  <c r="L11" i="5"/>
  <c r="C11" i="5"/>
  <c r="S10" i="5"/>
  <c r="Q10" i="5"/>
  <c r="P10" i="5"/>
  <c r="L10" i="5"/>
  <c r="C10" i="5"/>
  <c r="S9" i="5"/>
  <c r="Q9" i="5"/>
  <c r="L9" i="5"/>
  <c r="C9" i="5"/>
  <c r="S8" i="5"/>
  <c r="P8" i="5"/>
  <c r="Q8" i="5" s="1"/>
  <c r="L8" i="5"/>
  <c r="C8" i="5"/>
  <c r="H39" i="7" s="1"/>
  <c r="S7" i="5"/>
  <c r="Q7" i="5"/>
  <c r="P7" i="5"/>
  <c r="L7" i="5"/>
  <c r="C7" i="5"/>
  <c r="S6" i="5"/>
  <c r="P6" i="5"/>
  <c r="Q6" i="5" s="1"/>
  <c r="L6" i="5"/>
  <c r="C6" i="5"/>
  <c r="M53" i="4"/>
  <c r="V52" i="4"/>
  <c r="V51" i="4"/>
  <c r="V50" i="4"/>
  <c r="M50" i="4"/>
  <c r="V49" i="4"/>
  <c r="M49" i="4"/>
  <c r="L49" i="4"/>
  <c r="M48" i="4"/>
  <c r="L48" i="4"/>
  <c r="M47" i="4"/>
  <c r="L47" i="4"/>
  <c r="V46" i="4"/>
  <c r="M46" i="4"/>
  <c r="L46" i="4"/>
  <c r="V45" i="4"/>
  <c r="M45" i="4"/>
  <c r="L45" i="4"/>
  <c r="A45" i="4"/>
  <c r="V44" i="4"/>
  <c r="M44" i="4"/>
  <c r="L44" i="4"/>
  <c r="A44" i="4"/>
  <c r="V43" i="4"/>
  <c r="M43" i="4"/>
  <c r="L43" i="4"/>
  <c r="A43" i="4"/>
  <c r="M42" i="4"/>
  <c r="L42" i="4"/>
  <c r="A42" i="4"/>
  <c r="M41" i="4"/>
  <c r="L41" i="4"/>
  <c r="A41" i="4"/>
  <c r="V40" i="4"/>
  <c r="M40" i="4"/>
  <c r="L40" i="4"/>
  <c r="A40" i="4"/>
  <c r="V39" i="4"/>
  <c r="M39" i="4"/>
  <c r="L39" i="4"/>
  <c r="A39" i="4"/>
  <c r="V38" i="4"/>
  <c r="M38" i="4"/>
  <c r="L38" i="4"/>
  <c r="A38" i="4"/>
  <c r="V37" i="4"/>
  <c r="M37" i="4"/>
  <c r="L37" i="4"/>
  <c r="A37" i="4"/>
  <c r="M36" i="4"/>
  <c r="L36" i="4"/>
  <c r="A36" i="4"/>
  <c r="M35" i="4"/>
  <c r="L35" i="4"/>
  <c r="A35" i="4"/>
  <c r="V34" i="4"/>
  <c r="M34" i="4"/>
  <c r="L34" i="4"/>
  <c r="A34" i="4"/>
  <c r="V33" i="4"/>
  <c r="M33" i="4"/>
  <c r="L33" i="4"/>
  <c r="A33" i="4"/>
  <c r="V32" i="4"/>
  <c r="M32" i="4"/>
  <c r="L32" i="4"/>
  <c r="A32" i="4"/>
  <c r="V31" i="4"/>
  <c r="M31" i="4"/>
  <c r="L31" i="4"/>
  <c r="A31" i="4"/>
  <c r="M30" i="4"/>
  <c r="L30" i="4"/>
  <c r="A30" i="4"/>
  <c r="M29" i="4"/>
  <c r="L29" i="4"/>
  <c r="A29" i="4"/>
  <c r="V28" i="4"/>
  <c r="M28" i="4"/>
  <c r="L28" i="4"/>
  <c r="A28" i="4"/>
  <c r="V27" i="4"/>
  <c r="M27" i="4"/>
  <c r="L27" i="4"/>
  <c r="A27" i="4"/>
  <c r="V26" i="4"/>
  <c r="M26" i="4"/>
  <c r="L26" i="4"/>
  <c r="A26" i="4"/>
  <c r="V25" i="4"/>
  <c r="M25" i="4"/>
  <c r="L25" i="4"/>
  <c r="A25" i="4"/>
  <c r="M24" i="4"/>
  <c r="L24" i="4"/>
  <c r="A24" i="4"/>
  <c r="M23" i="4"/>
  <c r="L23" i="4"/>
  <c r="A23" i="4"/>
  <c r="V22" i="4"/>
  <c r="A22" i="4"/>
  <c r="V21" i="4"/>
  <c r="A21" i="4"/>
  <c r="V20" i="4"/>
  <c r="A20" i="4"/>
  <c r="V19" i="4"/>
  <c r="A19" i="4"/>
  <c r="V16" i="4"/>
  <c r="V15" i="4"/>
  <c r="V14" i="4"/>
  <c r="M14" i="4"/>
  <c r="L14" i="4"/>
  <c r="V13" i="4"/>
  <c r="M13" i="4"/>
  <c r="L13" i="4"/>
  <c r="V10" i="4"/>
  <c r="M10" i="4"/>
  <c r="L10" i="4"/>
  <c r="A10" i="4"/>
  <c r="V9" i="4"/>
  <c r="A9" i="4"/>
  <c r="V8" i="4"/>
  <c r="M8" i="4"/>
  <c r="L8" i="4"/>
  <c r="A8" i="4"/>
  <c r="V7" i="4"/>
  <c r="A7" i="4"/>
  <c r="A6" i="4"/>
  <c r="B81" i="3"/>
  <c r="B80" i="3"/>
  <c r="B43" i="3" s="1"/>
  <c r="B79" i="3"/>
  <c r="B78" i="3"/>
  <c r="B77" i="3"/>
  <c r="B76" i="3"/>
  <c r="B26" i="3" s="1"/>
  <c r="L39" i="3" s="1"/>
  <c r="B75" i="3"/>
  <c r="B74" i="3"/>
  <c r="B64" i="3" s="1"/>
  <c r="B70" i="3"/>
  <c r="D68" i="3"/>
  <c r="L38" i="3" s="1"/>
  <c r="B67" i="3"/>
  <c r="D63" i="3"/>
  <c r="B61" i="3"/>
  <c r="L45" i="3" s="1"/>
  <c r="B58" i="3"/>
  <c r="D56" i="3" s="1"/>
  <c r="L37" i="3" s="1"/>
  <c r="B55" i="3"/>
  <c r="B52" i="3"/>
  <c r="B49" i="3"/>
  <c r="D51" i="3" s="1"/>
  <c r="F53" i="3" s="1"/>
  <c r="L46" i="3"/>
  <c r="B46" i="3"/>
  <c r="D44" i="3" s="1"/>
  <c r="L36" i="3" s="1"/>
  <c r="L44" i="3"/>
  <c r="L43" i="3"/>
  <c r="L42" i="3"/>
  <c r="L40" i="3"/>
  <c r="B38" i="3"/>
  <c r="L41" i="3" s="1"/>
  <c r="D37" i="3"/>
  <c r="F39" i="3" s="1"/>
  <c r="B35" i="3"/>
  <c r="L34" i="3"/>
  <c r="L33" i="3"/>
  <c r="L32" i="3"/>
  <c r="B32" i="3"/>
  <c r="L31" i="3"/>
  <c r="B29" i="3"/>
  <c r="D30" i="3" s="1"/>
  <c r="L35" i="3" s="1"/>
  <c r="B23" i="3"/>
  <c r="D25" i="3" s="1"/>
  <c r="F27" i="3" s="1"/>
  <c r="P94" i="2"/>
  <c r="Q94" i="2" s="1"/>
  <c r="C94" i="2"/>
  <c r="Q93" i="2"/>
  <c r="P93" i="2"/>
  <c r="C93" i="2"/>
  <c r="P92" i="2"/>
  <c r="Q92" i="2" s="1"/>
  <c r="K92" i="2"/>
  <c r="C92" i="2"/>
  <c r="P91" i="2"/>
  <c r="Q91" i="2" s="1"/>
  <c r="K91" i="2"/>
  <c r="C91" i="2"/>
  <c r="P90" i="2"/>
  <c r="Q90" i="2" s="1"/>
  <c r="K90" i="2"/>
  <c r="C90" i="2"/>
  <c r="P89" i="2"/>
  <c r="Q89" i="2" s="1"/>
  <c r="K89" i="2"/>
  <c r="C89" i="2"/>
  <c r="P88" i="2"/>
  <c r="Q88" i="2" s="1"/>
  <c r="K88" i="2"/>
  <c r="C88" i="2"/>
  <c r="P87" i="2"/>
  <c r="Q87" i="2" s="1"/>
  <c r="K87" i="2"/>
  <c r="C87" i="2"/>
  <c r="P86" i="2"/>
  <c r="Q86" i="2" s="1"/>
  <c r="K86" i="2"/>
  <c r="C86" i="2"/>
  <c r="P85" i="2"/>
  <c r="Q85" i="2" s="1"/>
  <c r="K85" i="2"/>
  <c r="C85" i="2"/>
  <c r="P84" i="2"/>
  <c r="Q84" i="2" s="1"/>
  <c r="K84" i="2"/>
  <c r="C84" i="2"/>
  <c r="P83" i="2"/>
  <c r="Q83" i="2" s="1"/>
  <c r="K83" i="2"/>
  <c r="C83" i="2"/>
  <c r="P82" i="2"/>
  <c r="Q82" i="2" s="1"/>
  <c r="K82" i="2"/>
  <c r="C82" i="2"/>
  <c r="P81" i="2"/>
  <c r="Q81" i="2" s="1"/>
  <c r="K81" i="2"/>
  <c r="C81" i="2"/>
  <c r="P80" i="2"/>
  <c r="Q80" i="2" s="1"/>
  <c r="K80" i="2"/>
  <c r="C80" i="2"/>
  <c r="P79" i="2"/>
  <c r="Q79" i="2" s="1"/>
  <c r="K79" i="2"/>
  <c r="C79" i="2"/>
  <c r="P78" i="2"/>
  <c r="Q78" i="2" s="1"/>
  <c r="K78" i="2"/>
  <c r="C78" i="2"/>
  <c r="P77" i="2"/>
  <c r="Q77" i="2" s="1"/>
  <c r="K77" i="2"/>
  <c r="C77" i="2"/>
  <c r="P76" i="2"/>
  <c r="Q76" i="2" s="1"/>
  <c r="K76" i="2"/>
  <c r="C76" i="2"/>
  <c r="P75" i="2"/>
  <c r="Q75" i="2" s="1"/>
  <c r="K75" i="2"/>
  <c r="C75" i="2"/>
  <c r="P74" i="2"/>
  <c r="Q74" i="2" s="1"/>
  <c r="K74" i="2"/>
  <c r="C74" i="2"/>
  <c r="P73" i="2"/>
  <c r="Q73" i="2" s="1"/>
  <c r="K73" i="2"/>
  <c r="C73" i="2"/>
  <c r="P72" i="2"/>
  <c r="Q72" i="2" s="1"/>
  <c r="K72" i="2"/>
  <c r="C72" i="2"/>
  <c r="P71" i="2"/>
  <c r="Q71" i="2" s="1"/>
  <c r="L71" i="2"/>
  <c r="C71" i="2"/>
  <c r="P70" i="2"/>
  <c r="Q70" i="2" s="1"/>
  <c r="L70" i="2"/>
  <c r="C70" i="2"/>
  <c r="P69" i="2"/>
  <c r="Q69" i="2" s="1"/>
  <c r="L69" i="2"/>
  <c r="C69" i="2"/>
  <c r="P68" i="2"/>
  <c r="Q68" i="2" s="1"/>
  <c r="L68" i="2"/>
  <c r="C68" i="2"/>
  <c r="P67" i="2"/>
  <c r="Q67" i="2" s="1"/>
  <c r="L67" i="2"/>
  <c r="C67" i="2"/>
  <c r="P66" i="2"/>
  <c r="Q66" i="2" s="1"/>
  <c r="L66" i="2"/>
  <c r="C66" i="2"/>
  <c r="P65" i="2"/>
  <c r="Q65" i="2" s="1"/>
  <c r="L65" i="2"/>
  <c r="C65" i="2"/>
  <c r="P64" i="2"/>
  <c r="Q64" i="2" s="1"/>
  <c r="L64" i="2"/>
  <c r="C64" i="2"/>
  <c r="P63" i="2"/>
  <c r="Q63" i="2" s="1"/>
  <c r="L63" i="2"/>
  <c r="C63" i="2"/>
  <c r="P62" i="2"/>
  <c r="Q62" i="2" s="1"/>
  <c r="L62" i="2"/>
  <c r="C62" i="2"/>
  <c r="P61" i="2"/>
  <c r="Q61" i="2" s="1"/>
  <c r="L61" i="2"/>
  <c r="C61" i="2"/>
  <c r="Q60" i="2"/>
  <c r="P60" i="2"/>
  <c r="L60" i="2"/>
  <c r="C60" i="2"/>
  <c r="Q59" i="2"/>
  <c r="P59" i="2"/>
  <c r="L59" i="2"/>
  <c r="C59" i="2"/>
  <c r="Q58" i="2"/>
  <c r="P58" i="2"/>
  <c r="L58" i="2"/>
  <c r="C58" i="2"/>
  <c r="Q57" i="2"/>
  <c r="P57" i="2"/>
  <c r="L57" i="2"/>
  <c r="C57" i="2"/>
  <c r="Q56" i="2"/>
  <c r="P56" i="2"/>
  <c r="L56" i="2"/>
  <c r="C56" i="2"/>
  <c r="Q55" i="2"/>
  <c r="P55" i="2"/>
  <c r="L55" i="2"/>
  <c r="C55" i="2"/>
  <c r="Q54" i="2"/>
  <c r="P54" i="2"/>
  <c r="L54" i="2"/>
  <c r="C54" i="2"/>
  <c r="Q53" i="2"/>
  <c r="P53" i="2"/>
  <c r="L53" i="2"/>
  <c r="C53" i="2"/>
  <c r="Q52" i="2"/>
  <c r="P52" i="2"/>
  <c r="L52" i="2"/>
  <c r="C52" i="2"/>
  <c r="Q51" i="2"/>
  <c r="P51" i="2"/>
  <c r="L51" i="2"/>
  <c r="C51" i="2"/>
  <c r="Q50" i="2"/>
  <c r="P50" i="2"/>
  <c r="L50" i="2"/>
  <c r="C50" i="2"/>
  <c r="Q49" i="2"/>
  <c r="P49" i="2"/>
  <c r="L49" i="2"/>
  <c r="C49" i="2"/>
  <c r="Q48" i="2"/>
  <c r="P48" i="2"/>
  <c r="L48" i="2"/>
  <c r="C48" i="2"/>
  <c r="Q47" i="2"/>
  <c r="P47" i="2"/>
  <c r="L47" i="2"/>
  <c r="C47" i="2"/>
  <c r="Q46" i="2"/>
  <c r="P46" i="2"/>
  <c r="L46" i="2"/>
  <c r="C46" i="2"/>
  <c r="Q45" i="2"/>
  <c r="P45" i="2"/>
  <c r="L45" i="2"/>
  <c r="C45" i="2"/>
  <c r="Q44" i="2"/>
  <c r="P44" i="2"/>
  <c r="L44" i="2"/>
  <c r="C44" i="2"/>
  <c r="Q43" i="2"/>
  <c r="P43" i="2"/>
  <c r="L43" i="2"/>
  <c r="C43" i="2"/>
  <c r="Q42" i="2"/>
  <c r="P42" i="2"/>
  <c r="L42" i="2"/>
  <c r="C42" i="2"/>
  <c r="Q41" i="2"/>
  <c r="P41" i="2"/>
  <c r="L41" i="2"/>
  <c r="C41" i="2"/>
  <c r="Q40" i="2"/>
  <c r="P40" i="2"/>
  <c r="L40" i="2"/>
  <c r="C40" i="2"/>
  <c r="Q39" i="2"/>
  <c r="P39" i="2"/>
  <c r="L39" i="2"/>
  <c r="C39" i="2"/>
  <c r="Q38" i="2"/>
  <c r="P38" i="2"/>
  <c r="L38" i="2"/>
  <c r="C38" i="2"/>
  <c r="Q37" i="2"/>
  <c r="L37" i="2"/>
  <c r="C37" i="2"/>
  <c r="Q36" i="2"/>
  <c r="L36" i="2"/>
  <c r="C36" i="2"/>
  <c r="Q35" i="2"/>
  <c r="L35" i="2"/>
  <c r="C35" i="2"/>
  <c r="Q34" i="2"/>
  <c r="L34" i="2"/>
  <c r="C34" i="2"/>
  <c r="Q33" i="2"/>
  <c r="L33" i="2"/>
  <c r="C33" i="2"/>
  <c r="Q32" i="2"/>
  <c r="L32" i="2"/>
  <c r="C32" i="2"/>
  <c r="Q31" i="2"/>
  <c r="L31" i="2"/>
  <c r="C31" i="2"/>
  <c r="Q30" i="2"/>
  <c r="L30" i="2"/>
  <c r="C30" i="2"/>
  <c r="Q29" i="2"/>
  <c r="L29" i="2"/>
  <c r="C29" i="2"/>
  <c r="Q28" i="2"/>
  <c r="L28" i="2"/>
  <c r="C28" i="2"/>
  <c r="Q27" i="2"/>
  <c r="L27" i="2"/>
  <c r="C27" i="2"/>
  <c r="Q26" i="2"/>
  <c r="L26" i="2"/>
  <c r="C26" i="2"/>
  <c r="Q25" i="2"/>
  <c r="L25" i="2"/>
  <c r="C25" i="2"/>
  <c r="Q24" i="2"/>
  <c r="L24" i="2"/>
  <c r="C24" i="2"/>
  <c r="Q23" i="2"/>
  <c r="L23" i="2"/>
  <c r="C23" i="2"/>
  <c r="Q22" i="2"/>
  <c r="L22" i="2"/>
  <c r="C22" i="2"/>
  <c r="Q21" i="2"/>
  <c r="L21" i="2"/>
  <c r="C21" i="2"/>
  <c r="Q20" i="2"/>
  <c r="L20" i="2"/>
  <c r="C20" i="2"/>
  <c r="Q19" i="2"/>
  <c r="L19" i="2"/>
  <c r="C19" i="2"/>
  <c r="Q18" i="2"/>
  <c r="L18" i="2"/>
  <c r="C18" i="2"/>
  <c r="Q17" i="2"/>
  <c r="L17" i="2"/>
  <c r="C17" i="2"/>
  <c r="Q16" i="2"/>
  <c r="L16" i="2"/>
  <c r="C16" i="2"/>
  <c r="Q15" i="2"/>
  <c r="L15" i="2"/>
  <c r="C15" i="2"/>
  <c r="Q14" i="2"/>
  <c r="L14" i="2"/>
  <c r="C14" i="2"/>
  <c r="Q13" i="2"/>
  <c r="L13" i="2"/>
  <c r="C13" i="2"/>
  <c r="Q12" i="2"/>
  <c r="L12" i="2"/>
  <c r="C12" i="2"/>
  <c r="Q11" i="2"/>
  <c r="L11" i="2"/>
  <c r="C11" i="2"/>
  <c r="Q10" i="2"/>
  <c r="L10" i="2"/>
  <c r="C10" i="2"/>
  <c r="Q9" i="2"/>
  <c r="L9" i="2"/>
  <c r="C9" i="2"/>
  <c r="Q8" i="2"/>
  <c r="L8" i="2"/>
  <c r="C8" i="2"/>
  <c r="Q7" i="2"/>
  <c r="L7" i="2"/>
  <c r="C7" i="2"/>
  <c r="H47" i="4" s="1"/>
  <c r="Q6" i="2"/>
  <c r="L6" i="2"/>
  <c r="C6" i="2"/>
  <c r="J6" i="4" l="1"/>
  <c r="J18" i="4"/>
  <c r="H21" i="4"/>
  <c r="H27" i="4"/>
  <c r="H33" i="4"/>
  <c r="H39" i="4"/>
  <c r="H45" i="4"/>
  <c r="J46" i="4"/>
  <c r="H13" i="7"/>
  <c r="H15" i="7"/>
  <c r="J26" i="7"/>
  <c r="H27" i="7"/>
  <c r="H31" i="7"/>
  <c r="H35" i="7"/>
  <c r="H37" i="7"/>
  <c r="H53" i="4"/>
  <c r="H46" i="4"/>
  <c r="J45" i="4"/>
  <c r="J43" i="4"/>
  <c r="J40" i="4"/>
  <c r="J38" i="4"/>
  <c r="H36" i="4"/>
  <c r="J35" i="4"/>
  <c r="J33" i="4"/>
  <c r="J31" i="4"/>
  <c r="J28" i="4"/>
  <c r="J26" i="4"/>
  <c r="H24" i="4"/>
  <c r="J23" i="4"/>
  <c r="J22" i="4"/>
  <c r="J21" i="4"/>
  <c r="J20" i="4"/>
  <c r="J19" i="4"/>
  <c r="H18" i="4"/>
  <c r="J16" i="4"/>
  <c r="H15" i="4"/>
  <c r="J14" i="4"/>
  <c r="H12" i="4"/>
  <c r="J8" i="4"/>
  <c r="J7" i="4"/>
  <c r="H6" i="4"/>
  <c r="J52" i="4"/>
  <c r="H51" i="4"/>
  <c r="H50" i="4"/>
  <c r="J49" i="4"/>
  <c r="J48" i="4"/>
  <c r="J47" i="4"/>
  <c r="J44" i="4"/>
  <c r="H42" i="4"/>
  <c r="J41" i="4"/>
  <c r="J39" i="4"/>
  <c r="J37" i="4"/>
  <c r="J34" i="4"/>
  <c r="J32" i="4"/>
  <c r="H30" i="4"/>
  <c r="J29" i="4"/>
  <c r="J27" i="4"/>
  <c r="J25" i="4"/>
  <c r="H17" i="4"/>
  <c r="H13" i="4"/>
  <c r="H11" i="4"/>
  <c r="J10" i="4"/>
  <c r="J9" i="4"/>
  <c r="H8" i="4"/>
  <c r="H10" i="4"/>
  <c r="J11" i="4"/>
  <c r="H16" i="4"/>
  <c r="H20" i="4"/>
  <c r="H28" i="4"/>
  <c r="H34" i="4"/>
  <c r="H40" i="4"/>
  <c r="J51" i="4"/>
  <c r="J53" i="4"/>
  <c r="J7" i="7"/>
  <c r="H16" i="7"/>
  <c r="H18" i="7"/>
  <c r="J21" i="7"/>
  <c r="H22" i="7"/>
  <c r="J23" i="7"/>
  <c r="J25" i="7"/>
  <c r="H34" i="7"/>
  <c r="H38" i="7"/>
  <c r="H7" i="4"/>
  <c r="H9" i="4"/>
  <c r="J12" i="4"/>
  <c r="H19" i="4"/>
  <c r="H23" i="4"/>
  <c r="J24" i="4"/>
  <c r="H25" i="4"/>
  <c r="H29" i="4"/>
  <c r="J30" i="4"/>
  <c r="H31" i="4"/>
  <c r="H35" i="4"/>
  <c r="J36" i="4"/>
  <c r="H37" i="4"/>
  <c r="H41" i="4"/>
  <c r="J42" i="4"/>
  <c r="H43" i="4"/>
  <c r="H49" i="4"/>
  <c r="J50" i="4"/>
  <c r="J28" i="7"/>
  <c r="H29" i="7"/>
  <c r="H33" i="7"/>
  <c r="F64" i="3"/>
  <c r="J13" i="4"/>
  <c r="H14" i="4"/>
  <c r="J15" i="4"/>
  <c r="J17" i="4"/>
  <c r="H22" i="4"/>
  <c r="H26" i="4"/>
  <c r="H32" i="4"/>
  <c r="H38" i="4"/>
  <c r="H44" i="4"/>
  <c r="H48" i="4"/>
  <c r="H52" i="4"/>
  <c r="J41" i="7"/>
  <c r="J39" i="7"/>
  <c r="J37" i="7"/>
  <c r="J30" i="7"/>
  <c r="H28" i="7"/>
  <c r="H26" i="7"/>
  <c r="H25" i="7"/>
  <c r="H21" i="7"/>
  <c r="H19" i="7"/>
  <c r="J16" i="7"/>
  <c r="J13" i="7"/>
  <c r="J11" i="7"/>
  <c r="J10" i="7"/>
  <c r="J8" i="7"/>
  <c r="J6" i="7"/>
  <c r="H41" i="7"/>
  <c r="J40" i="7"/>
  <c r="J38" i="7"/>
  <c r="J36" i="7"/>
  <c r="J35" i="7"/>
  <c r="J34" i="7"/>
  <c r="J33" i="7"/>
  <c r="J32" i="7"/>
  <c r="J31" i="7"/>
  <c r="J29" i="7"/>
  <c r="J27" i="7"/>
  <c r="J24" i="7"/>
  <c r="H23" i="7"/>
  <c r="J22" i="7"/>
  <c r="J20" i="7"/>
  <c r="J18" i="7"/>
  <c r="J17" i="7"/>
  <c r="J15" i="7"/>
  <c r="J14" i="7"/>
  <c r="J12" i="7"/>
  <c r="H9" i="7"/>
  <c r="H7" i="7"/>
  <c r="H6" i="7"/>
  <c r="J9" i="7"/>
  <c r="H10" i="7"/>
  <c r="H12" i="7"/>
  <c r="J19" i="7"/>
  <c r="H20" i="7"/>
  <c r="H24" i="7"/>
  <c r="H30" i="7"/>
  <c r="H32" i="7"/>
  <c r="H36" i="7"/>
  <c r="H40" i="7"/>
</calcChain>
</file>

<file path=xl/sharedStrings.xml><?xml version="1.0" encoding="utf-8"?>
<sst xmlns="http://schemas.openxmlformats.org/spreadsheetml/2006/main" count="2228" uniqueCount="714">
  <si>
    <t xml:space="preserve"> </t>
  </si>
  <si>
    <t>香港沙灘排球巡迴賽 2019 黃金(二) 站</t>
  </si>
  <si>
    <t>比賽須知</t>
  </si>
  <si>
    <t>報　　到</t>
  </si>
  <si>
    <t>所有參賽隊伍須於規定時間前15分鐘，向司令台報到.</t>
  </si>
  <si>
    <t>如發現冒名頂替者，則其球隊之比賽資格及所得成績分將被取消。</t>
  </si>
  <si>
    <t>比賽制服</t>
  </si>
  <si>
    <t>比賽隊伍必須穿著比賽制服</t>
  </si>
  <si>
    <t>比賽規則</t>
  </si>
  <si>
    <t>採用國際排球協會最新之沙灘排球現規則，網高及球場面積如下：</t>
  </si>
  <si>
    <t>男子乙組網高2.35米，女子乙組網高2.20米</t>
  </si>
  <si>
    <t xml:space="preserve">球場：16米x 8米；半場8米x 8米 </t>
  </si>
  <si>
    <t>小組賽兩局制，每球得分制，需至少領前兩分為勝1局，並無上限分.每勝一場得3分，每負一場得0分，平手各得1分。</t>
  </si>
  <si>
    <t>複賽三局兩勝制，每球得分制，需至少領前兩分為勝1局，並無上限分.</t>
  </si>
  <si>
    <t>一,二局每累積7分,決勝局每累積5分交換場地作賽</t>
  </si>
  <si>
    <t>每隊每局一次暫停,限時30秒,只有隊長方可要求暫停</t>
  </si>
  <si>
    <t>技術暫停：只設於一,二局,兩隊得分總和21分時自動執行,限時30秒.</t>
  </si>
  <si>
    <t>球員不可用上手手指﹝虛攻﹞完成攻擊性擊球</t>
  </si>
  <si>
    <t>凡 NO SHOW 將不獲積分</t>
  </si>
  <si>
    <t>Competition Information</t>
  </si>
  <si>
    <t xml:space="preserve">Report </t>
  </si>
  <si>
    <t>Teams should report to the competition organizer 15 minutes before the competition.</t>
  </si>
  <si>
    <t>All results will be deleted if unlawful player has been found.</t>
  </si>
  <si>
    <t>Uniform</t>
  </si>
  <si>
    <t>Players in a team should wear identical uniform with visible number 1 &amp; 2 on front and back side of players’uniform</t>
  </si>
  <si>
    <t>Rules</t>
  </si>
  <si>
    <t xml:space="preserve">Beach volleyball official rules from FIVB will be adopted throughout the game. </t>
  </si>
  <si>
    <t>Dimensions of playing area and height of the net are as follow:</t>
  </si>
  <si>
    <t>Playing area: 16m x 8m</t>
  </si>
  <si>
    <t>A Grade Men's net: 2.43m ;B Grade Men's net: 2.35m ;A Grade Women's net: 2.24m;B Grade Women's net: 2.20m</t>
  </si>
  <si>
    <t xml:space="preserve">A match would be won by team that wins two sets with each of them having a minimum lead of 2 points. </t>
  </si>
  <si>
    <t>In the case of 1-1 ties, the deciding set (the 3rd) is played to 15 points with a minimum lead of 2 points.</t>
  </si>
  <si>
    <t>Court switch would be taken place after every 7 points (Set 1 and 2)  and 5 points (Set 3) played</t>
  </si>
  <si>
    <t xml:space="preserve">Each team is entitled to a maximum of one time-out per set. Each time-out lasts for 30 seconds and could be called by either of the players </t>
  </si>
  <si>
    <t>Technical Time-out: in sets 1 and 2, one additional 30 second Technical Time-out</t>
  </si>
  <si>
    <t xml:space="preserve">is automatically allocated when the sum of the points scored by the teams equals 21 points.  </t>
  </si>
  <si>
    <t>A player completes an attack-hit using an “open-handed tip or dink” directing the ball</t>
  </si>
  <si>
    <t>with the fingers would be considered as a attack-hit fault</t>
  </si>
  <si>
    <t>Knock out system &amp; best of 3 system will be adopted in the final round and QT</t>
  </si>
  <si>
    <t xml:space="preserve">For Preliminary Round, all the games are in 2 sets </t>
  </si>
  <si>
    <t>No points will be given for those "no show"</t>
  </si>
  <si>
    <t xml:space="preserve">Men Division I's net: 2.43m ;Men Division II's net: 2.35m ; Women Division I's net: 2.24m;Women Division II's net: 2.20m </t>
  </si>
  <si>
    <t>In pool games,two sets in each game,win a game will get 3 points,draw a game will get 1 point.</t>
  </si>
  <si>
    <t>In the round of 16, in case of 1-1 ties, the deciding set (the 3rd) is played to 15 points with a minimum lead of 2 points.</t>
  </si>
  <si>
    <t>Each team is entitled to a maximum of one time-out per set. Each time-out lasts for 30 seconds and could be called by captain</t>
  </si>
  <si>
    <t>第一階段：小組單循環比賽</t>
  </si>
  <si>
    <t>Seeding List (table 2)</t>
  </si>
  <si>
    <r>
      <rPr>
        <b/>
        <sz val="12"/>
        <color rgb="FF0000FF"/>
        <rFont val="微軟正黑體"/>
        <family val="2"/>
        <charset val="136"/>
      </rPr>
      <t>種子隊名單</t>
    </r>
    <r>
      <rPr>
        <b/>
        <sz val="12"/>
        <color rgb="FF0000FF"/>
        <rFont val="Calibri"/>
        <family val="2"/>
        <charset val="1"/>
      </rPr>
      <t>(</t>
    </r>
    <r>
      <rPr>
        <b/>
        <sz val="12"/>
        <color rgb="FF0000FF"/>
        <rFont val="微軟正黑體"/>
        <family val="2"/>
        <charset val="136"/>
      </rPr>
      <t>表二</t>
    </r>
    <r>
      <rPr>
        <b/>
        <sz val="12"/>
        <color rgb="FF0000FF"/>
        <rFont val="Calibri"/>
        <family val="2"/>
        <charset val="1"/>
      </rPr>
      <t>)</t>
    </r>
  </si>
  <si>
    <t>種子編號</t>
  </si>
  <si>
    <t xml:space="preserve">Read </t>
  </si>
  <si>
    <t>Team</t>
  </si>
  <si>
    <t>Team Name</t>
  </si>
  <si>
    <t>Ind.</t>
  </si>
  <si>
    <t>積分</t>
  </si>
  <si>
    <t>DRAW RESULT</t>
  </si>
  <si>
    <t>SEED NO.</t>
  </si>
  <si>
    <t>抽籤結果</t>
  </si>
  <si>
    <t>Seeding</t>
  </si>
  <si>
    <t>隊名</t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</si>
  <si>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  <charset val="1"/>
      </rPr>
      <t>1</t>
    </r>
  </si>
  <si>
    <t>註冊編號</t>
  </si>
  <si>
    <t>Points</t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</si>
  <si>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  <charset val="1"/>
      </rPr>
      <t>2</t>
    </r>
  </si>
  <si>
    <t>備註</t>
  </si>
  <si>
    <t>球隊所得積分</t>
  </si>
  <si>
    <t>球員所得積分</t>
  </si>
  <si>
    <t>Alps LC</t>
  </si>
  <si>
    <t>張綽航</t>
  </si>
  <si>
    <t>M639</t>
  </si>
  <si>
    <t>李俊傑</t>
  </si>
  <si>
    <t>M676</t>
  </si>
  <si>
    <t>A1</t>
  </si>
  <si>
    <t>三局專家</t>
  </si>
  <si>
    <t>劉卓然</t>
  </si>
  <si>
    <t>M934</t>
  </si>
  <si>
    <t>陳煒傑</t>
  </si>
  <si>
    <t>M936</t>
  </si>
  <si>
    <t>B1</t>
  </si>
  <si>
    <t>Alps Handshake</t>
  </si>
  <si>
    <t>簡詩恆</t>
  </si>
  <si>
    <t>M891</t>
  </si>
  <si>
    <t>黃震</t>
  </si>
  <si>
    <t>M907</t>
  </si>
  <si>
    <t>C1</t>
  </si>
  <si>
    <t>King Kong</t>
  </si>
  <si>
    <t>雲維華</t>
  </si>
  <si>
    <t>M798</t>
  </si>
  <si>
    <t>林柏均</t>
  </si>
  <si>
    <t>M179</t>
  </si>
  <si>
    <t>D1</t>
  </si>
  <si>
    <t>SKTL</t>
  </si>
  <si>
    <t>廖樞麒</t>
  </si>
  <si>
    <t>M552</t>
  </si>
  <si>
    <t>余天樂</t>
  </si>
  <si>
    <t>M342</t>
  </si>
  <si>
    <t>E1</t>
  </si>
  <si>
    <r>
      <rPr>
        <sz val="12"/>
        <rFont val="Calibri"/>
        <family val="2"/>
        <charset val="1"/>
      </rPr>
      <t>ALPS_</t>
    </r>
    <r>
      <rPr>
        <sz val="12"/>
        <rFont val="Microsoft YaHei"/>
        <family val="2"/>
        <charset val="136"/>
      </rPr>
      <t>我要買</t>
    </r>
    <r>
      <rPr>
        <sz val="12"/>
        <rFont val="Calibri"/>
        <family val="2"/>
        <charset val="1"/>
      </rPr>
      <t>Type R</t>
    </r>
  </si>
  <si>
    <t>葉志誠</t>
  </si>
  <si>
    <t>M802</t>
  </si>
  <si>
    <t>李宇煌</t>
  </si>
  <si>
    <t>M330</t>
  </si>
  <si>
    <t>F1</t>
  </si>
  <si>
    <t>消防處</t>
  </si>
  <si>
    <t>黃英彰</t>
  </si>
  <si>
    <t>M931</t>
  </si>
  <si>
    <t>張志坤</t>
  </si>
  <si>
    <t>M332</t>
  </si>
  <si>
    <t>G1</t>
  </si>
  <si>
    <t>紅藍</t>
  </si>
  <si>
    <t>鄭晉宏</t>
  </si>
  <si>
    <t>M629</t>
  </si>
  <si>
    <t>陳品全</t>
  </si>
  <si>
    <t>M630</t>
  </si>
  <si>
    <t>H1</t>
  </si>
  <si>
    <t>撈碧鵰</t>
  </si>
  <si>
    <t>陳暐晴</t>
  </si>
  <si>
    <t>M642</t>
  </si>
  <si>
    <t>黃志傑</t>
  </si>
  <si>
    <t>M704</t>
  </si>
  <si>
    <t>H2</t>
  </si>
  <si>
    <t>瘸左瘸埋右</t>
  </si>
  <si>
    <t>曾毅斌</t>
  </si>
  <si>
    <t>M910</t>
  </si>
  <si>
    <t>鍾皓聰</t>
  </si>
  <si>
    <t>M908</t>
  </si>
  <si>
    <t>G2</t>
  </si>
  <si>
    <t>華青</t>
  </si>
  <si>
    <t>王龍</t>
  </si>
  <si>
    <t>M561</t>
  </si>
  <si>
    <t>莊紀來</t>
  </si>
  <si>
    <t>M229</t>
  </si>
  <si>
    <t>F2</t>
  </si>
  <si>
    <t>小矮人</t>
  </si>
  <si>
    <t>張智行</t>
  </si>
  <si>
    <t>M729</t>
  </si>
  <si>
    <t>莫皓智</t>
  </si>
  <si>
    <t>M906</t>
  </si>
  <si>
    <t>E2</t>
  </si>
  <si>
    <t>我叫你</t>
  </si>
  <si>
    <t>譚洭倫</t>
  </si>
  <si>
    <t>M514</t>
  </si>
  <si>
    <t>蘇俊傑</t>
  </si>
  <si>
    <t>M895</t>
  </si>
  <si>
    <t>D2</t>
  </si>
  <si>
    <t>熱情的麻鷹</t>
  </si>
  <si>
    <t>李健禧</t>
  </si>
  <si>
    <t>M843</t>
  </si>
  <si>
    <t>張永暉</t>
  </si>
  <si>
    <t>M887</t>
  </si>
  <si>
    <t>C2</t>
  </si>
  <si>
    <t>SCAA K&amp;L</t>
  </si>
  <si>
    <t>甘力軒</t>
  </si>
  <si>
    <t>M373</t>
  </si>
  <si>
    <t>柳凱富</t>
  </si>
  <si>
    <t>M804</t>
  </si>
  <si>
    <t>B2</t>
  </si>
  <si>
    <t>SWC</t>
  </si>
  <si>
    <t>梁景嵐</t>
  </si>
  <si>
    <t>M829</t>
  </si>
  <si>
    <t>李烈峰</t>
  </si>
  <si>
    <t>M899</t>
  </si>
  <si>
    <t>A2</t>
  </si>
  <si>
    <t>AM</t>
  </si>
  <si>
    <t>杜啟銘</t>
  </si>
  <si>
    <t>M794</t>
  </si>
  <si>
    <t>梁俊毅</t>
  </si>
  <si>
    <t>M795</t>
  </si>
  <si>
    <t>A3</t>
  </si>
  <si>
    <t>我愛香港二隊</t>
  </si>
  <si>
    <t>關梓烽</t>
  </si>
  <si>
    <t>M890</t>
  </si>
  <si>
    <t>廖家勤</t>
  </si>
  <si>
    <t>M625</t>
  </si>
  <si>
    <t>B3</t>
  </si>
  <si>
    <t>蔡偉傑</t>
  </si>
  <si>
    <t>M205</t>
  </si>
  <si>
    <t>張富鍵</t>
  </si>
  <si>
    <t>M228</t>
  </si>
  <si>
    <t>C3</t>
  </si>
  <si>
    <t>我愛香港</t>
  </si>
  <si>
    <t>梁家烺</t>
  </si>
  <si>
    <t>M575</t>
  </si>
  <si>
    <t>林詩朗</t>
  </si>
  <si>
    <t>M675</t>
  </si>
  <si>
    <t>D3</t>
  </si>
  <si>
    <t>K-Pak</t>
  </si>
  <si>
    <t>黃栢軒</t>
  </si>
  <si>
    <t>M621</t>
  </si>
  <si>
    <t>李勤昌</t>
  </si>
  <si>
    <t>M682</t>
  </si>
  <si>
    <t>E3</t>
  </si>
  <si>
    <t xml:space="preserve">SCAA the chosen one </t>
  </si>
  <si>
    <t>陳禧傑</t>
  </si>
  <si>
    <t>M748</t>
  </si>
  <si>
    <t>莊正恒</t>
  </si>
  <si>
    <t>NEW</t>
  </si>
  <si>
    <t>F3</t>
  </si>
  <si>
    <t>SCAAPY</t>
  </si>
  <si>
    <t>陸震豪</t>
  </si>
  <si>
    <t>Khan Ahmed</t>
  </si>
  <si>
    <t>C4</t>
  </si>
  <si>
    <t>G3, H3, H4, G4, F4, E4, D4, C4, B4, A4</t>
  </si>
  <si>
    <t>For&amp;Ray</t>
  </si>
  <si>
    <t>梁科仁</t>
  </si>
  <si>
    <t>劉偉文</t>
  </si>
  <si>
    <t>H3</t>
  </si>
  <si>
    <t>楠天晴朗</t>
  </si>
  <si>
    <t>劉卓楠</t>
  </si>
  <si>
    <t>林逸朗</t>
  </si>
  <si>
    <t>A4</t>
  </si>
  <si>
    <t>美偶</t>
  </si>
  <si>
    <t>馬朗青</t>
  </si>
  <si>
    <t>何振楊</t>
  </si>
  <si>
    <t>G3</t>
  </si>
  <si>
    <t>唔守波</t>
  </si>
  <si>
    <t>李泯其</t>
  </si>
  <si>
    <t>陳朗晞</t>
  </si>
  <si>
    <t>D4</t>
  </si>
  <si>
    <t>vvE</t>
  </si>
  <si>
    <t>薛俊逸</t>
  </si>
  <si>
    <t>何建邦</t>
  </si>
  <si>
    <t>E4</t>
  </si>
  <si>
    <t>浸聖呂</t>
  </si>
  <si>
    <t>邱詩皓</t>
  </si>
  <si>
    <t>溤力揚</t>
  </si>
  <si>
    <t>G4</t>
  </si>
  <si>
    <r>
      <rPr>
        <sz val="12"/>
        <rFont val="細明體"/>
        <family val="3"/>
        <charset val="136"/>
      </rPr>
      <t>壞人＋</t>
    </r>
    <r>
      <rPr>
        <sz val="12"/>
        <rFont val="Calibri"/>
        <family val="2"/>
        <charset val="1"/>
      </rPr>
      <t>barcode</t>
    </r>
    <r>
      <rPr>
        <sz val="12"/>
        <rFont val="細明體"/>
        <family val="3"/>
        <charset val="136"/>
      </rPr>
      <t>頭</t>
    </r>
  </si>
  <si>
    <t>陳信珩</t>
  </si>
  <si>
    <t>黃忠義</t>
  </si>
  <si>
    <t>B4</t>
  </si>
  <si>
    <t>呂郭碧鳳</t>
  </si>
  <si>
    <t>周志昕</t>
  </si>
  <si>
    <t>黃悅峰</t>
  </si>
  <si>
    <t>H4</t>
  </si>
  <si>
    <t>SCAA CSUN</t>
  </si>
  <si>
    <t>曾松欽</t>
  </si>
  <si>
    <t>M789</t>
  </si>
  <si>
    <t>陳淦彥</t>
  </si>
  <si>
    <t>F4</t>
  </si>
  <si>
    <t>???</t>
  </si>
  <si>
    <t>BYE</t>
  </si>
  <si>
    <t>M851</t>
  </si>
  <si>
    <t>M852</t>
  </si>
  <si>
    <t>M853</t>
  </si>
  <si>
    <t>M854</t>
  </si>
  <si>
    <t>AA1</t>
  </si>
  <si>
    <t>AA2</t>
  </si>
  <si>
    <t>M855</t>
  </si>
  <si>
    <t>AA3</t>
  </si>
  <si>
    <t>AA4</t>
  </si>
  <si>
    <t>M856</t>
  </si>
  <si>
    <t>AB1</t>
  </si>
  <si>
    <t>AB2</t>
  </si>
  <si>
    <t>M857</t>
  </si>
  <si>
    <t>AB3</t>
  </si>
  <si>
    <t>AB4</t>
  </si>
  <si>
    <t>M858</t>
  </si>
  <si>
    <t>M859</t>
  </si>
  <si>
    <t>M860</t>
  </si>
  <si>
    <t>M861</t>
  </si>
  <si>
    <t>I3</t>
  </si>
  <si>
    <t>M862</t>
  </si>
  <si>
    <r>
      <rPr>
        <sz val="12"/>
        <color rgb="FF000000"/>
        <rFont val="Calibri"/>
        <family val="2"/>
        <charset val="1"/>
      </rPr>
      <t>I.</t>
    </r>
    <r>
      <rPr>
        <sz val="7"/>
        <color rgb="FF000000"/>
        <rFont val="Calibri"/>
        <family val="2"/>
        <charset val="1"/>
      </rPr>
      <t xml:space="preserve">        </t>
    </r>
    <r>
      <rPr>
        <sz val="12"/>
        <color rgb="FF000000"/>
        <rFont val="微軟正黑體"/>
        <family val="2"/>
        <charset val="136"/>
      </rPr>
      <t>男子乙組：</t>
    </r>
  </si>
  <si>
    <r>
      <rPr>
        <sz val="12"/>
        <color rgb="FF000000"/>
        <rFont val="Calibri"/>
        <family val="2"/>
        <charset val="1"/>
      </rPr>
      <t>a.</t>
    </r>
    <r>
      <rPr>
        <sz val="7"/>
        <color rgb="FF000000"/>
        <rFont val="Calibri"/>
        <family val="2"/>
        <charset val="1"/>
      </rPr>
      <t xml:space="preserve">        </t>
    </r>
    <r>
      <rPr>
        <sz val="12"/>
        <color rgb="FF000000"/>
        <rFont val="微軟正黑體"/>
        <family val="2"/>
        <charset val="136"/>
      </rPr>
      <t>分組方法：</t>
    </r>
  </si>
  <si>
    <r>
      <rPr>
        <sz val="12"/>
        <color rgb="FF000000"/>
        <rFont val="Calibri"/>
        <family val="2"/>
        <charset val="1"/>
      </rPr>
      <t>i</t>
    </r>
    <r>
      <rPr>
        <sz val="12"/>
        <color rgb="FF000000"/>
        <rFont val="微軟正黑體"/>
        <family val="2"/>
        <charset val="136"/>
      </rPr>
      <t>、</t>
    </r>
    <r>
      <rPr>
        <sz val="7"/>
        <color rgb="FF000000"/>
        <rFont val="新細明體"/>
        <family val="1"/>
        <charset val="136"/>
      </rPr>
      <t xml:space="preserve">                        </t>
    </r>
    <r>
      <rPr>
        <sz val="12"/>
        <color rgb="FF000000"/>
        <rFont val="微軟正黑體"/>
        <family val="2"/>
        <charset val="136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36"/>
      </rPr>
      <t>）排列種子隊。</t>
    </r>
  </si>
  <si>
    <r>
      <rPr>
        <sz val="12"/>
        <rFont val="Calibri"/>
        <family val="2"/>
        <charset val="1"/>
      </rPr>
      <t>ii</t>
    </r>
    <r>
      <rPr>
        <sz val="12"/>
        <rFont val="微軟正黑體"/>
        <family val="2"/>
        <charset val="136"/>
      </rPr>
      <t>、</t>
    </r>
    <r>
      <rPr>
        <sz val="7"/>
        <rFont val="新細明體"/>
        <family val="1"/>
        <charset val="136"/>
      </rPr>
      <t xml:space="preserve">                   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  <charset val="1"/>
      </rPr>
      <t>9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  <charset val="1"/>
      </rPr>
      <t>H</t>
    </r>
    <r>
      <rPr>
        <sz val="12"/>
        <rFont val="微軟正黑體"/>
        <family val="2"/>
        <charset val="136"/>
      </rPr>
      <t>組。</t>
    </r>
  </si>
  <si>
    <t>A</t>
  </si>
  <si>
    <t>B</t>
  </si>
  <si>
    <t>C</t>
  </si>
  <si>
    <t>D</t>
  </si>
  <si>
    <t>E</t>
  </si>
  <si>
    <t>F</t>
  </si>
  <si>
    <t>G</t>
  </si>
  <si>
    <t>H</t>
  </si>
  <si>
    <t>SEED#1</t>
  </si>
  <si>
    <t>SEED#2</t>
  </si>
  <si>
    <t>SEED#3</t>
  </si>
  <si>
    <t>SEED#4</t>
  </si>
  <si>
    <t>SEED#5</t>
  </si>
  <si>
    <t>SEED#6</t>
  </si>
  <si>
    <t>SEED#7</t>
  </si>
  <si>
    <t>SEED#8</t>
  </si>
  <si>
    <t>SEED#16</t>
  </si>
  <si>
    <t>SEED#15</t>
  </si>
  <si>
    <t>SEED#14</t>
  </si>
  <si>
    <t>SEED#13</t>
  </si>
  <si>
    <t>SEED#12</t>
  </si>
  <si>
    <t>SEED#11</t>
  </si>
  <si>
    <t>SEED#10</t>
  </si>
  <si>
    <t>SEED#9</t>
  </si>
  <si>
    <t>SEED#17</t>
  </si>
  <si>
    <t>SEED#18</t>
  </si>
  <si>
    <t>SEED#19</t>
  </si>
  <si>
    <t>SEED#20</t>
  </si>
  <si>
    <t>SEED#21</t>
  </si>
  <si>
    <t>SEED#22</t>
  </si>
  <si>
    <t>SEED#23</t>
  </si>
  <si>
    <t>SEED#24</t>
  </si>
  <si>
    <t>SEED#32</t>
  </si>
  <si>
    <t>SEED#31</t>
  </si>
  <si>
    <t>SEED#30</t>
  </si>
  <si>
    <t>SEED#29</t>
  </si>
  <si>
    <t>SEED#28</t>
  </si>
  <si>
    <t>SEED#27</t>
  </si>
  <si>
    <t>SEED#26</t>
  </si>
  <si>
    <t>SEED#25</t>
  </si>
  <si>
    <r>
      <rPr>
        <sz val="7"/>
        <rFont val="新細明體"/>
        <family val="1"/>
        <charset val="136"/>
      </rPr>
      <t>                  </t>
    </r>
    <r>
      <rPr>
        <sz val="12"/>
        <rFont val="微軟正黑體"/>
        <family val="2"/>
        <charset val="136"/>
      </rPr>
      <t>小組單循環比賽中得分由高至低依次排名次。首次名晉級。</t>
    </r>
  </si>
  <si>
    <r>
      <rPr>
        <sz val="7"/>
        <rFont val="新細明體"/>
        <family val="1"/>
        <charset val="136"/>
      </rPr>
      <t xml:space="preserve">                </t>
    </r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  <charset val="1"/>
      </rPr>
      <t>17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36"/>
      </rPr>
      <t>種子分。</t>
    </r>
  </si>
  <si>
    <r>
      <rPr>
        <sz val="7"/>
        <rFont val="新細明體"/>
        <family val="1"/>
        <charset val="136"/>
      </rPr>
      <t xml:space="preserve">                </t>
    </r>
    <r>
      <rPr>
        <sz val="12"/>
        <rFont val="微軟正黑體"/>
        <family val="2"/>
        <charset val="136"/>
      </rPr>
      <t>第四名為名次</t>
    </r>
    <r>
      <rPr>
        <sz val="12"/>
        <rFont val="Calibri"/>
        <family val="2"/>
        <charset val="1"/>
      </rPr>
      <t>25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種子分。</t>
    </r>
  </si>
  <si>
    <r>
      <rPr>
        <sz val="12"/>
        <color rgb="FF000000"/>
        <rFont val="Calibri"/>
        <family val="2"/>
        <charset val="1"/>
      </rPr>
      <t>2.      16</t>
    </r>
    <r>
      <rPr>
        <sz val="12"/>
        <color rgb="FF000000"/>
        <rFont val="微軟正黑體"/>
        <family val="2"/>
        <charset val="136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36"/>
      </rPr>
      <t>名次。</t>
    </r>
  </si>
  <si>
    <t>MB1</t>
  </si>
  <si>
    <t>21:4, 21:11</t>
  </si>
  <si>
    <t>MB9</t>
  </si>
  <si>
    <t>21:18, 21:13</t>
  </si>
  <si>
    <t>MB2</t>
  </si>
  <si>
    <t>21:15, 22:20</t>
  </si>
  <si>
    <t>1st</t>
  </si>
  <si>
    <t>pts</t>
  </si>
  <si>
    <t>MB13</t>
  </si>
  <si>
    <t>2nd</t>
  </si>
  <si>
    <t>3rd</t>
  </si>
  <si>
    <t>4th</t>
  </si>
  <si>
    <t>5th</t>
  </si>
  <si>
    <t>MB3</t>
  </si>
  <si>
    <t>13:21, 13:21</t>
  </si>
  <si>
    <t>9th</t>
  </si>
  <si>
    <t>MB10</t>
  </si>
  <si>
    <t>10:21, 28:26, 15:12</t>
  </si>
  <si>
    <t>MB4</t>
  </si>
  <si>
    <t>瘸左瘸埋右 NO SHOW</t>
  </si>
  <si>
    <t>MB16</t>
  </si>
  <si>
    <t>Final 1/2 places</t>
  </si>
  <si>
    <t>17th</t>
  </si>
  <si>
    <t>棄權</t>
  </si>
  <si>
    <t>霖完未Jack</t>
  </si>
  <si>
    <t>MB5</t>
  </si>
  <si>
    <t>Yam</t>
  </si>
  <si>
    <t>21:13, 21:13</t>
  </si>
  <si>
    <t>MJ</t>
  </si>
  <si>
    <t>25th</t>
  </si>
  <si>
    <t>FW</t>
  </si>
  <si>
    <t>MB11</t>
  </si>
  <si>
    <t>No</t>
  </si>
  <si>
    <t>AK</t>
  </si>
  <si>
    <t>21:17, 21:17</t>
  </si>
  <si>
    <t>華麗過身</t>
  </si>
  <si>
    <t>Special</t>
  </si>
  <si>
    <t>MB6</t>
  </si>
  <si>
    <t>哥斯拉</t>
  </si>
  <si>
    <t>19:21, 21:19, 9:15</t>
  </si>
  <si>
    <t>MB14</t>
  </si>
  <si>
    <t>MB7</t>
  </si>
  <si>
    <t>21:13, 21:8</t>
  </si>
  <si>
    <t>MB12</t>
  </si>
  <si>
    <t>MB15</t>
  </si>
  <si>
    <t>Final 3/4 places</t>
  </si>
  <si>
    <t>MB8</t>
  </si>
  <si>
    <t>7:21, 8:21</t>
  </si>
  <si>
    <t>120 pts</t>
  </si>
  <si>
    <t>108 pts</t>
  </si>
  <si>
    <t>96 pts</t>
  </si>
  <si>
    <t>84 pts</t>
  </si>
  <si>
    <t>72 pts</t>
  </si>
  <si>
    <t>54 pts</t>
  </si>
  <si>
    <t>Playing Schedule (Men's Division II)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</si>
  <si>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男子乙組</t>
    </r>
    <r>
      <rPr>
        <b/>
        <sz val="18"/>
        <rFont val="Calibri"/>
        <family val="2"/>
        <charset val="1"/>
      </rPr>
      <t>)</t>
    </r>
  </si>
  <si>
    <t>局數</t>
  </si>
  <si>
    <t>分數</t>
  </si>
  <si>
    <t>????</t>
  </si>
  <si>
    <t>POOL</t>
  </si>
  <si>
    <t>Group</t>
  </si>
  <si>
    <t>TEAMS</t>
  </si>
  <si>
    <t>TEAM A</t>
  </si>
  <si>
    <t>TEAM B</t>
  </si>
  <si>
    <t>Serial no.</t>
  </si>
  <si>
    <t>分組</t>
  </si>
  <si>
    <t>Match No.</t>
  </si>
  <si>
    <t>對賽隊</t>
  </si>
  <si>
    <t>Vs</t>
  </si>
  <si>
    <t>楠天晴朗 NO SHOW</t>
  </si>
  <si>
    <t>Position</t>
  </si>
  <si>
    <t>Win</t>
  </si>
  <si>
    <t>Draw</t>
  </si>
  <si>
    <t>Loss</t>
  </si>
  <si>
    <t>SWC NO SHOW</t>
  </si>
  <si>
    <t>21:4, 21:3</t>
  </si>
  <si>
    <t>16:21, 11:21</t>
  </si>
  <si>
    <r>
      <rPr>
        <sz val="12"/>
        <rFont val="細明體"/>
        <family val="3"/>
        <charset val="136"/>
      </rPr>
      <t>壞人＋</t>
    </r>
    <r>
      <rPr>
        <sz val="12"/>
        <rFont val="Calibri"/>
        <family val="2"/>
        <charset val="1"/>
      </rPr>
      <t>barcode</t>
    </r>
    <r>
      <rPr>
        <sz val="12"/>
        <rFont val="細明體"/>
        <family val="3"/>
        <charset val="136"/>
      </rPr>
      <t>頭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NO SHOW</t>
    </r>
  </si>
  <si>
    <t>21:12, 21:17</t>
  </si>
  <si>
    <t>18:21, 21:18</t>
  </si>
  <si>
    <r>
      <rPr>
        <sz val="12"/>
        <rFont val="細明體"/>
        <family val="3"/>
        <charset val="136"/>
      </rPr>
      <t>三局專家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withdraw due to injury</t>
    </r>
  </si>
  <si>
    <t>SCAA PY NO SHOW</t>
  </si>
  <si>
    <t>1987.5 NO SHOW</t>
  </si>
  <si>
    <t>-</t>
  </si>
  <si>
    <t>Both Teams NO SHOW</t>
  </si>
  <si>
    <t>15:21, 21:8</t>
  </si>
  <si>
    <t>21:16, 21:17</t>
  </si>
  <si>
    <t>20:22, 21:7</t>
  </si>
  <si>
    <t>21:18, 21:14</t>
  </si>
  <si>
    <t>21:19, 21:17</t>
  </si>
  <si>
    <t>21:16, 21:11</t>
  </si>
  <si>
    <t>21:23, 21:14</t>
  </si>
  <si>
    <t>19:21, 21:15</t>
  </si>
  <si>
    <t>21:18, 21:16</t>
  </si>
  <si>
    <t>21:5, 21:6</t>
  </si>
  <si>
    <t>21:13, 21:10</t>
  </si>
  <si>
    <t>21:10, 21:12</t>
  </si>
  <si>
    <t>12:21, 6:21</t>
  </si>
  <si>
    <t>21:8, 21:14</t>
  </si>
  <si>
    <t>21:17, 21:15</t>
  </si>
  <si>
    <t>21:14, 21:15</t>
  </si>
  <si>
    <t>21:18, 17:21</t>
  </si>
  <si>
    <t>SCAA the chosen one</t>
  </si>
  <si>
    <t>19:21, 8:21</t>
  </si>
  <si>
    <t>21:13, 21:15</t>
  </si>
  <si>
    <t>21:17, 21:11</t>
  </si>
  <si>
    <t>21:7, 21:9</t>
  </si>
  <si>
    <t>21:18, 21:17</t>
  </si>
  <si>
    <t>23:21, 19:21</t>
  </si>
  <si>
    <t>21:19, 24:22</t>
  </si>
  <si>
    <t>21:11, 21:8</t>
  </si>
  <si>
    <t>11:21, 19:21</t>
  </si>
  <si>
    <r>
      <rPr>
        <sz val="12"/>
        <rFont val="細明體"/>
        <family val="3"/>
        <charset val="136"/>
      </rPr>
      <t>紅藍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Withdraw</t>
    </r>
  </si>
  <si>
    <r>
      <rPr>
        <sz val="12"/>
        <rFont val="細明體"/>
        <family val="3"/>
        <charset val="136"/>
      </rPr>
      <t>呂郭碧鳳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Withdraw</t>
    </r>
  </si>
  <si>
    <r>
      <rPr>
        <b/>
        <sz val="16"/>
        <color rgb="FF0000FF"/>
        <rFont val="Microsoft JhengHei"/>
        <family val="2"/>
        <charset val="136"/>
      </rPr>
      <t>種子隊名單</t>
    </r>
    <r>
      <rPr>
        <b/>
        <sz val="16"/>
        <color rgb="FF0000FF"/>
        <rFont val="Calibri"/>
        <family val="2"/>
        <charset val="1"/>
      </rPr>
      <t>(</t>
    </r>
    <r>
      <rPr>
        <b/>
        <sz val="16"/>
        <color rgb="FF0000FF"/>
        <rFont val="Microsoft JhengHei"/>
        <family val="2"/>
        <charset val="136"/>
      </rPr>
      <t>表二</t>
    </r>
    <r>
      <rPr>
        <b/>
        <sz val="16"/>
        <color rgb="FF0000FF"/>
        <rFont val="Calibri"/>
        <family val="2"/>
        <charset val="1"/>
      </rPr>
      <t>)</t>
    </r>
  </si>
  <si>
    <r>
      <rPr>
        <b/>
        <sz val="14"/>
        <rFont val="Microsoft JhengHei"/>
        <family val="2"/>
        <charset val="136"/>
      </rPr>
      <t>球員</t>
    </r>
    <r>
      <rPr>
        <b/>
        <sz val="14"/>
        <rFont val="Calibri"/>
        <family val="2"/>
        <charset val="1"/>
      </rPr>
      <t>1</t>
    </r>
  </si>
  <si>
    <r>
      <rPr>
        <b/>
        <sz val="14"/>
        <rFont val="Microsoft JhengHei"/>
        <family val="2"/>
        <charset val="136"/>
      </rPr>
      <t>球員</t>
    </r>
    <r>
      <rPr>
        <b/>
        <sz val="14"/>
        <rFont val="Calibri"/>
        <family val="2"/>
        <charset val="1"/>
      </rPr>
      <t>2</t>
    </r>
  </si>
  <si>
    <t>筱瑩</t>
  </si>
  <si>
    <t>陳筱琳</t>
  </si>
  <si>
    <t>F750</t>
  </si>
  <si>
    <t>馬曉瑩</t>
  </si>
  <si>
    <t>F757</t>
  </si>
  <si>
    <t>The Passionate Miami</t>
  </si>
  <si>
    <t>周祖因</t>
  </si>
  <si>
    <t>F649</t>
  </si>
  <si>
    <t>林詩敏</t>
  </si>
  <si>
    <t>F596</t>
  </si>
  <si>
    <t xml:space="preserve">Reunion </t>
  </si>
  <si>
    <t>任頌欣</t>
  </si>
  <si>
    <t>F585</t>
  </si>
  <si>
    <t>劉天慧</t>
  </si>
  <si>
    <t>F142</t>
  </si>
  <si>
    <t>薯仔一隊</t>
  </si>
  <si>
    <t>劉錦玉</t>
  </si>
  <si>
    <t>F631</t>
  </si>
  <si>
    <r>
      <rPr>
        <sz val="14"/>
        <rFont val="Microsoft JhengHei"/>
        <family val="2"/>
        <charset val="136"/>
      </rPr>
      <t>黎子悠</t>
    </r>
    <r>
      <rPr>
        <sz val="14"/>
        <rFont val="Microsoft YaHei"/>
        <family val="2"/>
        <charset val="136"/>
      </rPr>
      <t xml:space="preserve"> </t>
    </r>
  </si>
  <si>
    <t>MS YY</t>
  </si>
  <si>
    <r>
      <rPr>
        <sz val="14"/>
        <rFont val="Microsoft JhengHei"/>
        <family val="2"/>
        <charset val="136"/>
      </rPr>
      <t>麥</t>
    </r>
    <r>
      <rPr>
        <sz val="14"/>
        <rFont val="Microsoft YaHei"/>
        <family val="2"/>
        <charset val="136"/>
      </rPr>
      <t>𩓙</t>
    </r>
    <r>
      <rPr>
        <sz val="14"/>
        <rFont val="Microsoft JhengHei"/>
        <family val="2"/>
        <charset val="136"/>
      </rPr>
      <t>恩</t>
    </r>
  </si>
  <si>
    <t>F672</t>
  </si>
  <si>
    <t>黃雪怡</t>
  </si>
  <si>
    <t>F773</t>
  </si>
  <si>
    <t>MKC</t>
  </si>
  <si>
    <t>曾子紅</t>
  </si>
  <si>
    <t>F560</t>
  </si>
  <si>
    <t>張芳婷</t>
  </si>
  <si>
    <t>F616</t>
  </si>
  <si>
    <t>J&amp;M</t>
  </si>
  <si>
    <t>布諾珩</t>
  </si>
  <si>
    <t>F584</t>
  </si>
  <si>
    <t>廖美恩</t>
  </si>
  <si>
    <t>F437</t>
  </si>
  <si>
    <t>KB</t>
  </si>
  <si>
    <t>劉家琪</t>
  </si>
  <si>
    <t>F640</t>
  </si>
  <si>
    <t>陳潔怡</t>
  </si>
  <si>
    <t>limit</t>
  </si>
  <si>
    <t>陳嬿而</t>
  </si>
  <si>
    <t>黎曉彤</t>
  </si>
  <si>
    <t>A3, B3, C3, D3, D4</t>
  </si>
  <si>
    <t>爭氣</t>
  </si>
  <si>
    <t>吳學怡</t>
  </si>
  <si>
    <t>柯均宜</t>
  </si>
  <si>
    <t>F506</t>
  </si>
  <si>
    <t>BESS</t>
  </si>
  <si>
    <t>黎佩瑩</t>
  </si>
  <si>
    <t>F588</t>
  </si>
  <si>
    <t>何敏鈴</t>
  </si>
  <si>
    <t>F156</t>
  </si>
  <si>
    <t xml:space="preserve">tung&amp;yeung </t>
  </si>
  <si>
    <t>何彤彤</t>
  </si>
  <si>
    <t>黎子洋</t>
  </si>
  <si>
    <t>Glory</t>
  </si>
  <si>
    <t>林淑怡</t>
  </si>
  <si>
    <t>F675</t>
  </si>
  <si>
    <t>石珈甄</t>
  </si>
  <si>
    <t>F636</t>
  </si>
  <si>
    <t>F691</t>
  </si>
  <si>
    <t>F692</t>
  </si>
  <si>
    <t>F693</t>
  </si>
  <si>
    <t>F694</t>
  </si>
  <si>
    <t>F695</t>
  </si>
  <si>
    <t>F696</t>
  </si>
  <si>
    <t>F697</t>
  </si>
  <si>
    <t>F698</t>
  </si>
  <si>
    <t>F699</t>
  </si>
  <si>
    <t>F700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</si>
  <si>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</si>
  <si>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</si>
  <si>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</si>
  <si>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</si>
  <si>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</si>
  <si>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</si>
  <si>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</si>
  <si>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</si>
  <si>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</si>
  <si>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</si>
  <si>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</si>
  <si>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QT4</t>
  </si>
  <si>
    <t>F712</t>
  </si>
  <si>
    <t>QT5</t>
  </si>
  <si>
    <t>F713</t>
  </si>
  <si>
    <t>F714</t>
  </si>
  <si>
    <t>F715</t>
  </si>
  <si>
    <t>F716</t>
  </si>
  <si>
    <t>F717</t>
  </si>
  <si>
    <t>F718</t>
  </si>
  <si>
    <t>F719</t>
  </si>
  <si>
    <t>F720</t>
  </si>
  <si>
    <t xml:space="preserve"> AB4</t>
  </si>
  <si>
    <t>F721</t>
  </si>
  <si>
    <t>F722</t>
  </si>
  <si>
    <t>F723</t>
  </si>
  <si>
    <t>F724</t>
  </si>
  <si>
    <t>F725</t>
  </si>
  <si>
    <r>
      <rPr>
        <sz val="14"/>
        <color rgb="FF000000"/>
        <rFont val="Calibri"/>
        <family val="2"/>
        <charset val="1"/>
      </rPr>
      <t>I.       </t>
    </r>
    <r>
      <rPr>
        <sz val="14"/>
        <color rgb="FF000000"/>
        <rFont val="Microsoft JhengHei"/>
        <family val="2"/>
        <charset val="136"/>
      </rPr>
      <t>女子乙組：</t>
    </r>
  </si>
  <si>
    <r>
      <rPr>
        <sz val="12"/>
        <color rgb="FF000000"/>
        <rFont val="Calibri"/>
        <family val="2"/>
        <charset val="1"/>
      </rPr>
      <t>a.</t>
    </r>
    <r>
      <rPr>
        <sz val="7"/>
        <color rgb="FF000000"/>
        <rFont val="Calibri"/>
        <family val="2"/>
        <charset val="1"/>
      </rPr>
      <t xml:space="preserve">        </t>
    </r>
    <r>
      <rPr>
        <sz val="12"/>
        <color rgb="FF000000"/>
        <rFont val="Microsoft JhengHei"/>
        <family val="2"/>
        <charset val="136"/>
      </rPr>
      <t>分組方法：</t>
    </r>
  </si>
  <si>
    <r>
      <rPr>
        <sz val="12"/>
        <color rgb="FF000000"/>
        <rFont val="Calibri"/>
        <family val="2"/>
        <charset val="1"/>
      </rPr>
      <t>i</t>
    </r>
    <r>
      <rPr>
        <sz val="12"/>
        <color rgb="FF000000"/>
        <rFont val="Microsoft JhengHei"/>
        <family val="2"/>
        <charset val="136"/>
      </rPr>
      <t>、</t>
    </r>
    <r>
      <rPr>
        <sz val="7"/>
        <color rgb="FF000000"/>
        <rFont val="新細明體"/>
        <family val="1"/>
        <charset val="136"/>
      </rPr>
      <t xml:space="preserve">                     </t>
    </r>
    <r>
      <rPr>
        <sz val="12"/>
        <color rgb="FF000000"/>
        <rFont val="Microsoft JhengHei"/>
        <family val="2"/>
        <charset val="136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Microsoft JhengHei"/>
        <family val="2"/>
        <charset val="136"/>
      </rPr>
      <t>）排列種子隊。</t>
    </r>
  </si>
  <si>
    <r>
      <rPr>
        <sz val="12"/>
        <rFont val="Calibri"/>
        <family val="2"/>
        <charset val="1"/>
      </rPr>
      <t>ii</t>
    </r>
    <r>
      <rPr>
        <sz val="12"/>
        <rFont val="Microsoft JhengHei"/>
        <family val="2"/>
        <charset val="136"/>
      </rPr>
      <t>、</t>
    </r>
    <r>
      <rPr>
        <sz val="7"/>
        <rFont val="新細明體"/>
        <family val="1"/>
        <charset val="136"/>
      </rPr>
      <t xml:space="preserve">                    </t>
    </r>
    <r>
      <rPr>
        <sz val="12"/>
        <rFont val="Microsoft JhengHei"/>
        <family val="2"/>
        <charset val="136"/>
      </rPr>
      <t>第</t>
    </r>
    <r>
      <rPr>
        <sz val="12"/>
        <rFont val="Calibri"/>
        <family val="2"/>
        <charset val="1"/>
      </rPr>
      <t>1</t>
    </r>
    <r>
      <rPr>
        <sz val="12"/>
        <rFont val="Microsoft JhengHei"/>
        <family val="2"/>
        <charset val="136"/>
      </rPr>
      <t>至第</t>
    </r>
    <r>
      <rPr>
        <sz val="12"/>
        <rFont val="Calibri"/>
        <family val="2"/>
        <charset val="1"/>
      </rPr>
      <t>19</t>
    </r>
    <r>
      <rPr>
        <sz val="12"/>
        <rFont val="Microsoft JhengHei"/>
        <family val="2"/>
        <charset val="136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Microsoft JhengHei"/>
        <family val="2"/>
        <charset val="136"/>
      </rPr>
      <t>至</t>
    </r>
    <r>
      <rPr>
        <sz val="12"/>
        <rFont val="Calibri"/>
        <family val="2"/>
        <charset val="1"/>
      </rPr>
      <t>F</t>
    </r>
    <r>
      <rPr>
        <sz val="12"/>
        <rFont val="Microsoft JhengHei"/>
        <family val="2"/>
        <charset val="136"/>
      </rPr>
      <t>組。</t>
    </r>
  </si>
  <si>
    <r>
      <rPr>
        <sz val="12"/>
        <rFont val="Microsoft JhengHei"/>
        <family val="2"/>
        <charset val="136"/>
      </rPr>
      <t>小組單循環比賽中得分由高至低依次排名次，首次名晉級。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如隊伍成績相同，將進行抽籤</t>
    </r>
    <r>
      <rPr>
        <sz val="12"/>
        <rFont val="Calibri"/>
        <family val="2"/>
        <charset val="1"/>
      </rPr>
      <t>)</t>
    </r>
  </si>
  <si>
    <r>
      <rPr>
        <sz val="12"/>
        <rFont val="Microsoft JhengHei"/>
        <family val="2"/>
        <charset val="136"/>
      </rPr>
      <t>第</t>
    </r>
    <r>
      <rPr>
        <sz val="12"/>
        <rFont val="Calibri"/>
        <family val="2"/>
        <charset val="1"/>
      </rPr>
      <t>3</t>
    </r>
    <r>
      <rPr>
        <sz val="12"/>
        <rFont val="Microsoft JhengHei"/>
        <family val="2"/>
        <charset val="136"/>
      </rPr>
      <t>名為名次</t>
    </r>
    <r>
      <rPr>
        <sz val="12"/>
        <rFont val="Calibri"/>
        <family val="2"/>
        <charset val="1"/>
      </rPr>
      <t>13</t>
    </r>
    <r>
      <rPr>
        <sz val="12"/>
        <rFont val="Microsoft JhengHei"/>
        <family val="2"/>
        <charset val="136"/>
      </rPr>
      <t>得</t>
    </r>
    <r>
      <rPr>
        <sz val="12"/>
        <rFont val="Calibri"/>
        <family val="2"/>
        <charset val="1"/>
      </rPr>
      <t>48</t>
    </r>
    <r>
      <rPr>
        <sz val="12"/>
        <rFont val="Microsoft JhengHei"/>
        <family val="2"/>
        <charset val="136"/>
      </rPr>
      <t>種子分。</t>
    </r>
  </si>
  <si>
    <r>
      <rPr>
        <sz val="12"/>
        <rFont val="Microsoft JhengHei"/>
        <family val="2"/>
        <charset val="136"/>
      </rPr>
      <t>第</t>
    </r>
    <r>
      <rPr>
        <sz val="12"/>
        <rFont val="Calibri"/>
        <family val="2"/>
        <charset val="1"/>
      </rPr>
      <t>4</t>
    </r>
    <r>
      <rPr>
        <sz val="12"/>
        <rFont val="Microsoft JhengHei"/>
        <family val="2"/>
        <charset val="136"/>
      </rPr>
      <t>名為名次</t>
    </r>
    <r>
      <rPr>
        <sz val="12"/>
        <rFont val="Calibri"/>
        <family val="2"/>
        <charset val="1"/>
      </rPr>
      <t>19</t>
    </r>
    <r>
      <rPr>
        <sz val="12"/>
        <rFont val="Microsoft JhengHei"/>
        <family val="2"/>
        <charset val="136"/>
      </rPr>
      <t>得</t>
    </r>
    <r>
      <rPr>
        <sz val="12"/>
        <rFont val="Calibri"/>
        <family val="2"/>
        <charset val="1"/>
      </rPr>
      <t>36</t>
    </r>
    <r>
      <rPr>
        <sz val="12"/>
        <rFont val="Microsoft JhengHei"/>
        <family val="2"/>
        <charset val="136"/>
      </rPr>
      <t>種子分。</t>
    </r>
  </si>
  <si>
    <t>WB5</t>
  </si>
  <si>
    <t>21:14, 22:24, 15:11</t>
  </si>
  <si>
    <t>WB9</t>
  </si>
  <si>
    <t>WB6</t>
  </si>
  <si>
    <t>The Passionate Miami NO SHOW</t>
  </si>
  <si>
    <r>
      <rPr>
        <u/>
        <sz val="14"/>
        <color rgb="FF000000"/>
        <rFont val="Calibri"/>
        <family val="2"/>
        <charset val="1"/>
      </rPr>
      <t>1</t>
    </r>
    <r>
      <rPr>
        <u/>
        <vertAlign val="superscript"/>
        <sz val="14"/>
        <color rgb="FF000000"/>
        <rFont val="Calibri"/>
        <family val="2"/>
        <charset val="1"/>
      </rPr>
      <t>st</t>
    </r>
  </si>
  <si>
    <r>
      <rPr>
        <u/>
        <sz val="14"/>
        <color rgb="FF000000"/>
        <rFont val="Calibri"/>
        <family val="2"/>
        <charset val="1"/>
      </rPr>
      <t>2</t>
    </r>
    <r>
      <rPr>
        <u/>
        <vertAlign val="superscript"/>
        <sz val="14"/>
        <color rgb="FF000000"/>
        <rFont val="Calibri"/>
        <family val="2"/>
        <charset val="1"/>
      </rPr>
      <t>nd</t>
    </r>
  </si>
  <si>
    <r>
      <rPr>
        <u/>
        <sz val="14"/>
        <color rgb="FF000000"/>
        <rFont val="Calibri"/>
        <family val="2"/>
        <charset val="1"/>
      </rPr>
      <t>3</t>
    </r>
    <r>
      <rPr>
        <u/>
        <vertAlign val="superscript"/>
        <sz val="14"/>
        <color rgb="FF000000"/>
        <rFont val="Calibri"/>
        <family val="2"/>
        <charset val="1"/>
      </rPr>
      <t>rd</t>
    </r>
  </si>
  <si>
    <r>
      <rPr>
        <u/>
        <sz val="14"/>
        <color rgb="FF000000"/>
        <rFont val="Calibri"/>
        <family val="2"/>
        <charset val="1"/>
      </rPr>
      <t>4</t>
    </r>
    <r>
      <rPr>
        <u/>
        <vertAlign val="superscript"/>
        <sz val="14"/>
        <color rgb="FF000000"/>
        <rFont val="Calibri"/>
        <family val="2"/>
        <charset val="1"/>
      </rPr>
      <t>th</t>
    </r>
  </si>
  <si>
    <r>
      <rPr>
        <u/>
        <sz val="14"/>
        <color rgb="FF000000"/>
        <rFont val="Calibri"/>
        <family val="2"/>
        <charset val="1"/>
      </rPr>
      <t>5</t>
    </r>
    <r>
      <rPr>
        <u/>
        <vertAlign val="superscript"/>
        <sz val="14"/>
        <color rgb="FF000000"/>
        <rFont val="Calibri"/>
        <family val="2"/>
        <charset val="1"/>
      </rPr>
      <t>th</t>
    </r>
  </si>
  <si>
    <t>WB12</t>
  </si>
  <si>
    <r>
      <rPr>
        <u/>
        <sz val="14"/>
        <color rgb="FF000000"/>
        <rFont val="Calibri"/>
        <family val="2"/>
        <charset val="1"/>
      </rPr>
      <t>9</t>
    </r>
    <r>
      <rPr>
        <u/>
        <vertAlign val="superscript"/>
        <sz val="14"/>
        <color rgb="FF000000"/>
        <rFont val="Calibri"/>
        <family val="2"/>
        <charset val="1"/>
      </rPr>
      <t>th</t>
    </r>
  </si>
  <si>
    <t>WB7</t>
  </si>
  <si>
    <r>
      <rPr>
        <u/>
        <sz val="14"/>
        <color rgb="FF000000"/>
        <rFont val="Calibri"/>
        <family val="2"/>
        <charset val="1"/>
      </rPr>
      <t>13</t>
    </r>
    <r>
      <rPr>
        <u/>
        <vertAlign val="superscript"/>
        <sz val="14"/>
        <color rgb="FF000000"/>
        <rFont val="Calibri"/>
        <family val="2"/>
        <charset val="1"/>
      </rPr>
      <t>th</t>
    </r>
  </si>
  <si>
    <t>薯仔一隊 NO SHOW</t>
  </si>
  <si>
    <r>
      <rPr>
        <u/>
        <sz val="14"/>
        <color rgb="FF000000"/>
        <rFont val="Calibri"/>
        <family val="2"/>
        <charset val="1"/>
      </rPr>
      <t>19</t>
    </r>
    <r>
      <rPr>
        <u/>
        <vertAlign val="superscript"/>
        <sz val="14"/>
        <color rgb="FF000000"/>
        <rFont val="Calibri"/>
        <family val="2"/>
        <charset val="1"/>
      </rPr>
      <t>th</t>
    </r>
  </si>
  <si>
    <t>WB10</t>
  </si>
  <si>
    <t>WB8</t>
  </si>
  <si>
    <t>J&amp;M NO SHOW</t>
  </si>
  <si>
    <t>WA3</t>
  </si>
  <si>
    <t>60 pts</t>
  </si>
  <si>
    <t>Playing Schedule (Women's Division II)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</si>
  <si>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女子乙組</t>
    </r>
    <r>
      <rPr>
        <b/>
        <sz val="18"/>
        <rFont val="Calibri"/>
        <family val="2"/>
        <charset val="1"/>
      </rPr>
      <t>)</t>
    </r>
  </si>
  <si>
    <t>10:21, 17:21</t>
  </si>
  <si>
    <t>21:12, 21:16</t>
  </si>
  <si>
    <t>21:5, 21:14</t>
  </si>
  <si>
    <t>21:8, 21:10</t>
  </si>
  <si>
    <t>21:9, 21:11</t>
  </si>
  <si>
    <t>13:21, 21:13</t>
  </si>
  <si>
    <t>22:20, 17:21</t>
  </si>
  <si>
    <t>21:18, 16:21</t>
  </si>
  <si>
    <t>Reunion</t>
  </si>
  <si>
    <t>21:14, 21:16</t>
  </si>
  <si>
    <t>tung&amp;yeung</t>
  </si>
  <si>
    <t>MS YY NO SHOW</t>
  </si>
  <si>
    <t>21:11, 21:13</t>
  </si>
  <si>
    <t>17:21, 14:21</t>
  </si>
  <si>
    <r>
      <rPr>
        <b/>
        <sz val="14"/>
        <rFont val="Microsoft JhengHei"/>
        <family val="2"/>
        <charset val="136"/>
      </rPr>
      <t>香港沙灘排球巡迴賽</t>
    </r>
    <r>
      <rPr>
        <b/>
        <sz val="14"/>
        <rFont val="Microsoft YaHei"/>
        <family val="2"/>
        <charset val="136"/>
      </rPr>
      <t xml:space="preserve"> </t>
    </r>
    <r>
      <rPr>
        <b/>
        <sz val="14"/>
        <rFont val="Calibri"/>
        <family val="2"/>
        <charset val="1"/>
      </rPr>
      <t xml:space="preserve">2019 </t>
    </r>
    <r>
      <rPr>
        <b/>
        <sz val="14"/>
        <rFont val="Microsoft JhengHei"/>
        <family val="2"/>
        <charset val="136"/>
      </rPr>
      <t>黃金</t>
    </r>
    <r>
      <rPr>
        <b/>
        <sz val="14"/>
        <rFont val="Calibri"/>
        <family val="2"/>
        <charset val="1"/>
      </rPr>
      <t>(</t>
    </r>
    <r>
      <rPr>
        <b/>
        <sz val="14"/>
        <rFont val="Microsoft JhengHei"/>
        <family val="2"/>
        <charset val="136"/>
      </rPr>
      <t>二</t>
    </r>
    <r>
      <rPr>
        <b/>
        <sz val="14"/>
        <rFont val="Calibri"/>
        <family val="2"/>
        <charset val="1"/>
      </rPr>
      <t xml:space="preserve">) </t>
    </r>
    <r>
      <rPr>
        <b/>
        <sz val="14"/>
        <rFont val="Microsoft JhengHei"/>
        <family val="2"/>
        <charset val="136"/>
      </rPr>
      <t>站</t>
    </r>
  </si>
  <si>
    <t>Hong Kong Beach Volleyball Tour GC(2) Time-table</t>
  </si>
  <si>
    <t>The Playing Schedule MAY BE affected by the progression of previous match days</t>
  </si>
  <si>
    <t>賽程可能被上周未能完成的賽事之進度影響</t>
  </si>
  <si>
    <r>
      <rPr>
        <b/>
        <sz val="12"/>
        <rFont val="Microsoft JhengHei"/>
        <family val="2"/>
        <charset val="136"/>
      </rPr>
      <t>黃金</t>
    </r>
    <r>
      <rPr>
        <b/>
        <sz val="12"/>
        <rFont val="Calibri"/>
        <family val="2"/>
        <charset val="1"/>
      </rPr>
      <t>(</t>
    </r>
    <r>
      <rPr>
        <b/>
        <sz val="12"/>
        <rFont val="Microsoft JhengHei"/>
        <family val="2"/>
        <charset val="136"/>
      </rPr>
      <t>一</t>
    </r>
    <r>
      <rPr>
        <b/>
        <sz val="12"/>
        <rFont val="Calibri"/>
        <family val="2"/>
        <charset val="1"/>
      </rPr>
      <t>)</t>
    </r>
    <r>
      <rPr>
        <b/>
        <sz val="12"/>
        <rFont val="Microsoft JhengHei"/>
        <family val="2"/>
        <charset val="136"/>
      </rPr>
      <t>站賽事</t>
    </r>
  </si>
  <si>
    <r>
      <rPr>
        <b/>
        <sz val="12"/>
        <rFont val="Microsoft JhengHei"/>
        <family val="2"/>
        <charset val="136"/>
      </rPr>
      <t>黃金</t>
    </r>
    <r>
      <rPr>
        <b/>
        <sz val="12"/>
        <rFont val="Calibri"/>
        <family val="2"/>
        <charset val="1"/>
      </rPr>
      <t>(</t>
    </r>
    <r>
      <rPr>
        <b/>
        <sz val="12"/>
        <rFont val="Microsoft JhengHei"/>
        <family val="2"/>
        <charset val="136"/>
      </rPr>
      <t>二</t>
    </r>
    <r>
      <rPr>
        <b/>
        <sz val="12"/>
        <rFont val="Calibri"/>
        <family val="2"/>
        <charset val="1"/>
      </rPr>
      <t>)</t>
    </r>
    <r>
      <rPr>
        <b/>
        <sz val="12"/>
        <rFont val="Microsoft JhengHei"/>
        <family val="2"/>
        <charset val="136"/>
      </rPr>
      <t>站賽事</t>
    </r>
  </si>
  <si>
    <r>
      <rPr>
        <b/>
        <u/>
        <sz val="12"/>
        <rFont val="Calibri"/>
        <family val="2"/>
        <charset val="1"/>
      </rPr>
      <t xml:space="preserve">2019/07/13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</si>
  <si>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2019/07/14(Sunday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</si>
  <si>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MA1</t>
  </si>
  <si>
    <t>1st digit</t>
  </si>
  <si>
    <r>
      <rPr>
        <sz val="12"/>
        <color rgb="FF000000"/>
        <rFont val="Calibri"/>
        <family val="2"/>
        <charset val="1"/>
      </rPr>
      <t xml:space="preserve">M -Men </t>
    </r>
    <r>
      <rPr>
        <sz val="12"/>
        <color rgb="FF000000"/>
        <rFont val="Microsoft JhengHei"/>
        <family val="2"/>
        <charset val="136"/>
      </rPr>
      <t>男</t>
    </r>
  </si>
  <si>
    <r>
      <rPr>
        <sz val="12"/>
        <color rgb="FF000000"/>
        <rFont val="Calibri"/>
        <family val="2"/>
        <charset val="1"/>
      </rPr>
      <t>W-Women</t>
    </r>
    <r>
      <rPr>
        <sz val="12"/>
        <color rgb="FF000000"/>
        <rFont val="Microsoft JhengHei"/>
        <family val="2"/>
        <charset val="136"/>
      </rPr>
      <t>女</t>
    </r>
  </si>
  <si>
    <t>Starting Time</t>
  </si>
  <si>
    <t>Serial No.</t>
  </si>
  <si>
    <r>
      <rPr>
        <sz val="12"/>
        <color rgb="FF000000"/>
        <rFont val="Calibri"/>
        <family val="2"/>
        <charset val="1"/>
      </rPr>
      <t xml:space="preserve">COURT </t>
    </r>
    <r>
      <rPr>
        <sz val="12"/>
        <color rgb="FF000000"/>
        <rFont val="Microsoft JhengHei"/>
        <family val="2"/>
        <charset val="136"/>
      </rPr>
      <t>球場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Microsoft JhengHei"/>
        <family val="2"/>
        <charset val="136"/>
      </rPr>
      <t>黃金海岸</t>
    </r>
    <r>
      <rPr>
        <sz val="12"/>
        <color rgb="FF000000"/>
        <rFont val="Calibri"/>
        <family val="2"/>
        <charset val="1"/>
      </rPr>
      <t>(</t>
    </r>
    <r>
      <rPr>
        <sz val="12"/>
        <color rgb="FF000000"/>
        <rFont val="Microsoft JhengHei"/>
        <family val="2"/>
        <charset val="136"/>
      </rPr>
      <t>新咖啡灣</t>
    </r>
    <r>
      <rPr>
        <sz val="12"/>
        <color rgb="FF000000"/>
        <rFont val="Calibri"/>
        <family val="2"/>
        <charset val="1"/>
      </rPr>
      <t>)</t>
    </r>
    <r>
      <rPr>
        <sz val="12"/>
        <color rgb="FF000000"/>
        <rFont val="Microsoft JhengHei"/>
        <family val="2"/>
        <charset val="136"/>
      </rPr>
      <t>泳灘</t>
    </r>
  </si>
  <si>
    <t>2nd digit</t>
  </si>
  <si>
    <t>組別</t>
  </si>
  <si>
    <t>Division</t>
  </si>
  <si>
    <t>開始時間</t>
  </si>
  <si>
    <t>序號</t>
  </si>
  <si>
    <t>3rd digit</t>
  </si>
  <si>
    <t>Pool</t>
  </si>
  <si>
    <t>MBB1</t>
  </si>
  <si>
    <t>MBB2</t>
  </si>
  <si>
    <t>4th digit</t>
  </si>
  <si>
    <t>比賽編號</t>
  </si>
  <si>
    <t>MBC1</t>
  </si>
  <si>
    <t>MBC2</t>
  </si>
  <si>
    <t>MBB3</t>
  </si>
  <si>
    <t>MBB4</t>
  </si>
  <si>
    <t>MBC3</t>
  </si>
  <si>
    <t>MBC4</t>
  </si>
  <si>
    <t>MBG1</t>
  </si>
  <si>
    <t>MBG2</t>
  </si>
  <si>
    <t>LUNCH BREAK (T.B.C.)</t>
  </si>
  <si>
    <t>MBB5</t>
  </si>
  <si>
    <t>MBB6</t>
  </si>
  <si>
    <t>MAA25</t>
  </si>
  <si>
    <t>MBG3</t>
  </si>
  <si>
    <t>MBG4</t>
  </si>
  <si>
    <t>MAA26</t>
  </si>
  <si>
    <t>MBC5</t>
  </si>
  <si>
    <t>MBC6</t>
  </si>
  <si>
    <t>MAA27</t>
  </si>
  <si>
    <t>MBG5</t>
  </si>
  <si>
    <t>MBG6</t>
  </si>
  <si>
    <t>MAA28</t>
  </si>
  <si>
    <r>
      <rPr>
        <b/>
        <u/>
        <sz val="12"/>
        <rFont val="Calibri"/>
        <family val="2"/>
        <charset val="1"/>
      </rPr>
      <t xml:space="preserve">2019/07/20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</si>
  <si>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2019/07/21(Sunday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</si>
  <si>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MBD1</t>
  </si>
  <si>
    <t>MBD2</t>
  </si>
  <si>
    <t>MBH1</t>
  </si>
  <si>
    <t>MBH2</t>
  </si>
  <si>
    <t>MBD3</t>
  </si>
  <si>
    <t>MBD4</t>
  </si>
  <si>
    <t>MBH3</t>
  </si>
  <si>
    <t>MBH4</t>
  </si>
  <si>
    <t>MBD5</t>
  </si>
  <si>
    <t>MBD6</t>
  </si>
  <si>
    <t>MBH5</t>
  </si>
  <si>
    <t>MBH6</t>
  </si>
  <si>
    <t>WBD1</t>
  </si>
  <si>
    <t>WBD2</t>
  </si>
  <si>
    <t>WBC3</t>
  </si>
  <si>
    <t>WB11</t>
  </si>
  <si>
    <t>WBD3</t>
  </si>
  <si>
    <t>WBD4</t>
  </si>
  <si>
    <t>WBC2</t>
  </si>
  <si>
    <t>WBD5</t>
  </si>
  <si>
    <t>WBD6</t>
  </si>
  <si>
    <t>WBC6</t>
  </si>
  <si>
    <r>
      <rPr>
        <b/>
        <u/>
        <sz val="12"/>
        <rFont val="Calibri"/>
        <family val="2"/>
        <charset val="1"/>
      </rPr>
      <t xml:space="preserve">2019/07/27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</si>
  <si>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2019/07/28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</si>
  <si>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MBF1</t>
  </si>
  <si>
    <t>MBF2</t>
  </si>
  <si>
    <t>MBF3</t>
  </si>
  <si>
    <t>MBF4</t>
  </si>
  <si>
    <t>MBF5</t>
  </si>
  <si>
    <t>MBF6</t>
  </si>
  <si>
    <t>WBA3</t>
  </si>
  <si>
    <t>WBB3</t>
  </si>
  <si>
    <t>WBA2</t>
  </si>
  <si>
    <t>WBB2</t>
  </si>
  <si>
    <t>WBA6</t>
  </si>
  <si>
    <t>WBB6</t>
  </si>
  <si>
    <r>
      <rPr>
        <b/>
        <u/>
        <sz val="12"/>
        <rFont val="Calibri"/>
        <family val="2"/>
        <charset val="1"/>
      </rPr>
      <t xml:space="preserve">2019/08/03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</si>
  <si>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2019/08/04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</si>
  <si>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MBA1</t>
  </si>
  <si>
    <t>MBA2</t>
  </si>
  <si>
    <t>MBE1</t>
  </si>
  <si>
    <t>MBE2</t>
  </si>
  <si>
    <t>MBA3</t>
  </si>
  <si>
    <t>MBA4</t>
  </si>
  <si>
    <t>MBE3</t>
  </si>
  <si>
    <t>MBE4</t>
  </si>
  <si>
    <t>MBA5</t>
  </si>
  <si>
    <t>MBA6</t>
  </si>
  <si>
    <t>MBE5</t>
  </si>
  <si>
    <t>MBE6</t>
  </si>
  <si>
    <t>WAA13</t>
  </si>
  <si>
    <t>WAA14</t>
  </si>
  <si>
    <t>WAA21</t>
  </si>
  <si>
    <t>WAA22</t>
  </si>
  <si>
    <t>WAA15</t>
  </si>
  <si>
    <t>WAA16</t>
  </si>
  <si>
    <t>WAA23</t>
  </si>
  <si>
    <t>WAA24</t>
  </si>
  <si>
    <t>WAA2</t>
  </si>
  <si>
    <t>WAA18</t>
  </si>
  <si>
    <t>WAA25</t>
  </si>
  <si>
    <t>WAA26</t>
  </si>
  <si>
    <t>WAA19</t>
  </si>
  <si>
    <t>WAA20</t>
  </si>
  <si>
    <t>WAA27</t>
  </si>
  <si>
    <t>WAA28</t>
  </si>
  <si>
    <r>
      <rPr>
        <b/>
        <u/>
        <sz val="12"/>
        <rFont val="Calibri"/>
        <family val="2"/>
        <charset val="1"/>
      </rPr>
      <t xml:space="preserve">2019/08/10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</si>
  <si>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2019/08/11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</si>
  <si>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沒有賽事</t>
  </si>
  <si>
    <r>
      <rPr>
        <b/>
        <u/>
        <sz val="12"/>
        <rFont val="Calibri"/>
        <family val="2"/>
        <charset val="1"/>
      </rPr>
      <t xml:space="preserve">2019/08/17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</si>
  <si>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2019/08/18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</si>
  <si>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2019/08/24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</si>
  <si>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2019/08/25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</si>
  <si>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青少盃賽事</t>
  </si>
  <si>
    <r>
      <rPr>
        <b/>
        <u/>
        <sz val="12"/>
        <rFont val="Calibri"/>
        <family val="2"/>
        <charset val="1"/>
      </rPr>
      <t xml:space="preserve">2019/08/31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</si>
  <si>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2019/09/01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</si>
  <si>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color rgb="FF000000"/>
        <rFont val="Calibri"/>
        <family val="2"/>
        <charset val="1"/>
      </rPr>
      <t xml:space="preserve">M -Men </t>
    </r>
    <r>
      <rPr>
        <sz val="12"/>
        <rFont val="Microsoft JhengHei"/>
        <family val="2"/>
        <charset val="136"/>
      </rPr>
      <t>男</t>
    </r>
  </si>
  <si>
    <r>
      <rPr>
        <sz val="12"/>
        <color rgb="FF000000"/>
        <rFont val="Calibri"/>
        <family val="2"/>
        <charset val="1"/>
      </rPr>
      <t>W-Women</t>
    </r>
    <r>
      <rPr>
        <sz val="12"/>
        <rFont val="Microsoft JhengHei"/>
        <family val="2"/>
        <charset val="136"/>
      </rPr>
      <t>女</t>
    </r>
  </si>
  <si>
    <r>
      <rPr>
        <sz val="12"/>
        <rFont val="Calibri"/>
        <family val="2"/>
        <charset val="1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</si>
  <si>
    <r>
      <rPr>
        <b/>
        <u/>
        <sz val="12"/>
        <rFont val="Calibri"/>
        <family val="2"/>
        <charset val="1"/>
      </rPr>
      <t xml:space="preserve">2019/09/07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</si>
  <si>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2019/09/08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</si>
  <si>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72"/>
        <rFont val="Calibri"/>
        <family val="2"/>
        <charset val="1"/>
      </rPr>
      <t xml:space="preserve">COURT </t>
    </r>
    <r>
      <rPr>
        <sz val="72"/>
        <rFont val="Microsoft JhengHei"/>
        <family val="2"/>
        <charset val="136"/>
      </rPr>
      <t>球場</t>
    </r>
    <r>
      <rPr>
        <sz val="72"/>
        <rFont val="Microsoft YaHei"/>
        <family val="2"/>
        <charset val="136"/>
      </rPr>
      <t xml:space="preserve"> </t>
    </r>
    <r>
      <rPr>
        <sz val="72"/>
        <rFont val="Microsoft JhengHei"/>
        <family val="2"/>
        <charset val="136"/>
      </rPr>
      <t>黃金海岸</t>
    </r>
    <r>
      <rPr>
        <sz val="72"/>
        <rFont val="Calibri"/>
        <family val="2"/>
        <charset val="1"/>
      </rPr>
      <t>(</t>
    </r>
    <r>
      <rPr>
        <sz val="72"/>
        <rFont val="Microsoft JhengHei"/>
        <family val="2"/>
        <charset val="136"/>
      </rPr>
      <t>新咖啡灣</t>
    </r>
    <r>
      <rPr>
        <sz val="72"/>
        <rFont val="Calibri"/>
        <family val="2"/>
        <charset val="1"/>
      </rPr>
      <t>)</t>
    </r>
    <r>
      <rPr>
        <sz val="72"/>
        <rFont val="Microsoft JhengHei"/>
        <family val="2"/>
        <charset val="136"/>
      </rPr>
      <t>泳灘</t>
    </r>
  </si>
  <si>
    <r>
      <rPr>
        <b/>
        <u/>
        <sz val="12"/>
        <rFont val="Calibri"/>
        <family val="2"/>
        <charset val="1"/>
      </rPr>
      <t xml:space="preserve">2019/09/14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</si>
  <si>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2019/09/15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</si>
  <si>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2019/09/21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</si>
  <si>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2019/09/22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</si>
  <si>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2019/09/28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</si>
  <si>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2019/09/29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</si>
  <si>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rFont val="Calibri"/>
        <family val="2"/>
        <charset val="1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  <r>
      <rPr>
        <sz val="12"/>
        <rFont val="新細明體"/>
        <family val="1"/>
        <charset val="136"/>
      </rPr>
      <t xml:space="preserve"> </t>
    </r>
    <r>
      <rPr>
        <sz val="12"/>
        <rFont val="Calibri"/>
        <family val="2"/>
        <charset val="1"/>
      </rPr>
      <t xml:space="preserve">/ </t>
    </r>
    <r>
      <rPr>
        <sz val="12"/>
        <rFont val="Microsoft JhengHei"/>
        <family val="2"/>
        <charset val="136"/>
      </rPr>
      <t>天業路</t>
    </r>
  </si>
  <si>
    <t>WA1</t>
  </si>
  <si>
    <t>WA2</t>
  </si>
  <si>
    <t>MA2</t>
  </si>
  <si>
    <t>MA3</t>
  </si>
  <si>
    <t>MA4</t>
  </si>
  <si>
    <t>WA4</t>
  </si>
  <si>
    <t>21:16, 14:21, 12:15</t>
  </si>
  <si>
    <r>
      <t>b.      8</t>
    </r>
    <r>
      <rPr>
        <sz val="12"/>
        <color rgb="FF000000"/>
        <rFont val="Microsoft JhengHei"/>
        <family val="2"/>
        <charset val="136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Microsoft JhengHei"/>
        <family val="2"/>
        <charset val="136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Microsoft JhengHei"/>
        <family val="2"/>
        <charset val="136"/>
      </rPr>
      <t>名次。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</si>
</sst>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125">
    <font>
      <sz val="12"/>
      <name val="Microsoft YaHei"/>
      <family val="2"/>
      <charset val="136"/>
    </font>
    <font>
      <sz val="12"/>
      <color rgb="FF000000"/>
      <name val="????"/>
      <family val="1"/>
      <charset val="1"/>
    </font>
    <font>
      <sz val="12"/>
      <color rgb="FF800080"/>
      <name val="????"/>
      <family val="1"/>
      <charset val="1"/>
    </font>
    <font>
      <sz val="12"/>
      <color rgb="FF008000"/>
      <name val="????"/>
      <family val="1"/>
      <charset val="1"/>
    </font>
    <font>
      <sz val="12"/>
      <color rgb="FF993300"/>
      <name val="????"/>
      <family val="1"/>
      <charset val="1"/>
    </font>
    <font>
      <sz val="12"/>
      <name val="????"/>
      <family val="1"/>
      <charset val="136"/>
    </font>
    <font>
      <b/>
      <sz val="15"/>
      <color rgb="FF003366"/>
      <name val="????"/>
      <family val="1"/>
      <charset val="1"/>
    </font>
    <font>
      <sz val="10"/>
      <color rgb="FF000000"/>
      <name val="Arial"/>
      <family val="2"/>
      <charset val="1"/>
    </font>
    <font>
      <b/>
      <sz val="13"/>
      <color rgb="FF003366"/>
      <name val="????"/>
      <family val="1"/>
      <charset val="1"/>
    </font>
    <font>
      <b/>
      <sz val="11"/>
      <color rgb="FF003366"/>
      <name val="????"/>
      <family val="1"/>
      <charset val="1"/>
    </font>
    <font>
      <sz val="18"/>
      <color rgb="FF003366"/>
      <name val="????"/>
      <family val="1"/>
      <charset val="1"/>
    </font>
    <font>
      <b/>
      <sz val="12"/>
      <color rgb="FF000000"/>
      <name val="????"/>
      <family val="1"/>
      <charset val="1"/>
    </font>
    <font>
      <sz val="12"/>
      <color rgb="FF333399"/>
      <name val="????"/>
      <family val="1"/>
      <charset val="1"/>
    </font>
    <font>
      <b/>
      <sz val="12"/>
      <color rgb="FF333333"/>
      <name val="????"/>
      <family val="1"/>
      <charset val="1"/>
    </font>
    <font>
      <sz val="12"/>
      <color rgb="FFFFFFFF"/>
      <name val="????"/>
      <family val="1"/>
      <charset val="1"/>
    </font>
    <font>
      <b/>
      <sz val="12"/>
      <color rgb="FFFF9900"/>
      <name val="????"/>
      <family val="1"/>
      <charset val="1"/>
    </font>
    <font>
      <i/>
      <sz val="12"/>
      <color rgb="FF808080"/>
      <name val="????"/>
      <family val="1"/>
      <charset val="1"/>
    </font>
    <font>
      <sz val="12"/>
      <color rgb="FFFF0000"/>
      <name val="????"/>
      <family val="1"/>
      <charset val="1"/>
    </font>
    <font>
      <b/>
      <sz val="12"/>
      <color rgb="FFFFFFFF"/>
      <name val="????"/>
      <family val="1"/>
      <charset val="1"/>
    </font>
    <font>
      <sz val="12"/>
      <color rgb="FFFF9900"/>
      <name val="????"/>
      <family val="1"/>
      <charset val="1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6"/>
      <name val="Microsoft YaHei"/>
      <family val="2"/>
      <charset val="136"/>
    </font>
    <font>
      <b/>
      <sz val="12"/>
      <name val="微軟正黑體"/>
      <family val="2"/>
      <charset val="136"/>
    </font>
    <font>
      <b/>
      <sz val="12"/>
      <name val="Microsoft YaHei"/>
      <family val="2"/>
      <charset val="136"/>
    </font>
    <font>
      <b/>
      <sz val="12"/>
      <name val="Calibri"/>
      <family val="2"/>
      <charset val="1"/>
    </font>
    <font>
      <b/>
      <sz val="12"/>
      <color rgb="FF0000FF"/>
      <name val="微軟正黑體"/>
      <family val="2"/>
      <charset val="136"/>
    </font>
    <font>
      <b/>
      <sz val="12"/>
      <color rgb="FF0000FF"/>
      <name val="Calibri"/>
      <family val="2"/>
      <charset val="1"/>
    </font>
    <font>
      <b/>
      <sz val="12"/>
      <color rgb="FFFF0000"/>
      <name val="Microsoft YaHei"/>
      <family val="2"/>
      <charset val="136"/>
    </font>
    <font>
      <b/>
      <sz val="12"/>
      <color rgb="FF3366FF"/>
      <name val="Calibri"/>
      <family val="2"/>
      <charset val="1"/>
    </font>
    <font>
      <b/>
      <sz val="14"/>
      <name val="Microsoft YaHei"/>
      <family val="2"/>
      <charset val="136"/>
    </font>
    <font>
      <sz val="14"/>
      <name val="Microsoft YaHei"/>
      <family val="2"/>
      <charset val="136"/>
    </font>
    <font>
      <b/>
      <sz val="14"/>
      <name val="微軟正黑體"/>
      <family val="2"/>
      <charset val="136"/>
    </font>
    <font>
      <sz val="16"/>
      <name val="Microsoft YaHei"/>
      <family val="2"/>
      <charset val="136"/>
    </font>
    <font>
      <sz val="12"/>
      <color rgb="FF0000FF"/>
      <name val="Calibri"/>
      <family val="2"/>
      <charset val="1"/>
    </font>
    <font>
      <sz val="12"/>
      <name val="Calibri"/>
      <family val="2"/>
      <charset val="1"/>
    </font>
    <font>
      <sz val="12"/>
      <color rgb="FF0084D1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細明體"/>
      <family val="3"/>
      <charset val="136"/>
    </font>
    <font>
      <b/>
      <sz val="12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2"/>
      <color rgb="FF000000"/>
      <name val="Microsoft YaHei"/>
      <family val="2"/>
      <charset val="136"/>
    </font>
    <font>
      <sz val="12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2"/>
      <color rgb="FF000000"/>
      <name val="新細明體"/>
      <family val="1"/>
      <charset val="136"/>
    </font>
    <font>
      <sz val="7"/>
      <color rgb="FF000000"/>
      <name val="新細明體"/>
      <family val="1"/>
      <charset val="136"/>
    </font>
    <font>
      <sz val="7"/>
      <name val="新細明體"/>
      <family val="1"/>
      <charset val="136"/>
    </font>
    <font>
      <sz val="12"/>
      <color rgb="FF0000FF"/>
      <name val="Microsoft YaHei"/>
      <family val="2"/>
      <charset val="136"/>
    </font>
    <font>
      <b/>
      <sz val="12"/>
      <color rgb="FF000000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sz val="11"/>
      <color rgb="FF000000"/>
      <name val="Microsoft YaHei"/>
      <family val="2"/>
      <charset val="136"/>
    </font>
    <font>
      <sz val="11"/>
      <color rgb="FF000000"/>
      <name val="Microsoft YaHei"/>
      <family val="2"/>
      <charset val="1"/>
    </font>
    <font>
      <b/>
      <i/>
      <u/>
      <sz val="10"/>
      <color rgb="FF000000"/>
      <name val="Microsoft YaHei"/>
      <family val="2"/>
      <charset val="136"/>
    </font>
    <font>
      <b/>
      <sz val="12"/>
      <color rgb="FF000000"/>
      <name val="Microsoft YaHei"/>
      <family val="2"/>
      <charset val="136"/>
    </font>
    <font>
      <sz val="10"/>
      <color rgb="FF000000"/>
      <name val="Microsoft YaHei"/>
      <family val="2"/>
      <charset val="136"/>
    </font>
    <font>
      <b/>
      <sz val="11"/>
      <color rgb="FF000000"/>
      <name val="微軟正黑體"/>
      <family val="2"/>
      <charset val="136"/>
    </font>
    <font>
      <b/>
      <sz val="11"/>
      <color rgb="FF000000"/>
      <name val="Microsoft YaHei"/>
      <family val="2"/>
      <charset val="136"/>
    </font>
    <font>
      <sz val="11"/>
      <color rgb="FF000000"/>
      <name val="微軟正黑體"/>
      <family val="2"/>
      <charset val="136"/>
    </font>
    <font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i/>
      <u/>
      <sz val="11"/>
      <color rgb="FF000000"/>
      <name val="Microsoft YaHei"/>
      <family val="2"/>
      <charset val="136"/>
    </font>
    <font>
      <b/>
      <u/>
      <sz val="11"/>
      <color rgb="FF000000"/>
      <name val="Microsoft YaHei"/>
      <family val="2"/>
      <charset val="136"/>
    </font>
    <font>
      <u/>
      <sz val="11"/>
      <color rgb="FF000000"/>
      <name val="Microsoft YaHei"/>
      <family val="2"/>
      <charset val="136"/>
    </font>
    <font>
      <b/>
      <sz val="8"/>
      <color rgb="FF000000"/>
      <name val="Microsoft YaHei"/>
      <family val="2"/>
      <charset val="136"/>
    </font>
    <font>
      <b/>
      <sz val="10"/>
      <color rgb="FF000000"/>
      <name val="Microsoft YaHei"/>
      <family val="2"/>
      <charset val="136"/>
    </font>
    <font>
      <sz val="8"/>
      <color rgb="FF000000"/>
      <name val="Microsoft YaHei"/>
      <family val="2"/>
      <charset val="136"/>
    </font>
    <font>
      <b/>
      <i/>
      <u/>
      <sz val="8"/>
      <color rgb="FF000000"/>
      <name val="Microsoft YaHei"/>
      <family val="2"/>
      <charset val="136"/>
    </font>
    <font>
      <sz val="18"/>
      <color rgb="FF000000"/>
      <name val="Microsoft YaHei"/>
      <family val="2"/>
      <charset val="136"/>
    </font>
    <font>
      <b/>
      <sz val="14"/>
      <color rgb="FF000000"/>
      <name val="Microsoft YaHei"/>
      <family val="2"/>
      <charset val="136"/>
    </font>
    <font>
      <u/>
      <sz val="10"/>
      <color rgb="FF000000"/>
      <name val="Microsoft YaHei"/>
      <family val="2"/>
      <charset val="136"/>
    </font>
    <font>
      <u/>
      <sz val="8"/>
      <color rgb="FF000000"/>
      <name val="Microsoft YaHei"/>
      <family val="2"/>
      <charset val="136"/>
    </font>
    <font>
      <b/>
      <sz val="18"/>
      <name val="Calibri"/>
      <family val="2"/>
      <charset val="1"/>
    </font>
    <font>
      <b/>
      <sz val="18"/>
      <name val="Microsoft YaHei"/>
      <family val="2"/>
      <charset val="136"/>
    </font>
    <font>
      <b/>
      <sz val="18"/>
      <name val="微軟正黑體"/>
      <family val="2"/>
      <charset val="136"/>
    </font>
    <font>
      <b/>
      <sz val="18"/>
      <name val="新細明體"/>
      <family val="1"/>
      <charset val="136"/>
    </font>
    <font>
      <sz val="14"/>
      <name val="新細明體"/>
      <family val="1"/>
      <charset val="136"/>
    </font>
    <font>
      <b/>
      <i/>
      <sz val="12"/>
      <name val="新細明體"/>
      <family val="1"/>
      <charset val="136"/>
    </font>
    <font>
      <b/>
      <i/>
      <sz val="12"/>
      <name val="Microsoft YaHei"/>
      <family val="2"/>
      <charset val="136"/>
    </font>
    <font>
      <sz val="12"/>
      <name val="Microsoft JhengHei Light"/>
      <family val="2"/>
      <charset val="136"/>
    </font>
    <font>
      <b/>
      <sz val="16"/>
      <name val="Microsoft JhengHei"/>
      <family val="2"/>
      <charset val="136"/>
    </font>
    <font>
      <b/>
      <sz val="16"/>
      <color rgb="FF0000FF"/>
      <name val="Microsoft JhengHei"/>
      <family val="2"/>
      <charset val="136"/>
    </font>
    <font>
      <b/>
      <sz val="16"/>
      <color rgb="FF0000FF"/>
      <name val="Calibri"/>
      <family val="2"/>
      <charset val="1"/>
    </font>
    <font>
      <b/>
      <sz val="16"/>
      <color rgb="FFFF0000"/>
      <name val="Microsoft YaHei"/>
      <family val="2"/>
      <charset val="136"/>
    </font>
    <font>
      <b/>
      <sz val="14"/>
      <color rgb="FF0000FF"/>
      <name val="Microsoft JhengHei"/>
      <family val="2"/>
      <charset val="136"/>
    </font>
    <font>
      <b/>
      <sz val="14"/>
      <name val="Calibri"/>
      <family val="2"/>
      <charset val="1"/>
    </font>
    <font>
      <b/>
      <sz val="14"/>
      <color rgb="FF3366FF"/>
      <name val="Calibri"/>
      <family val="2"/>
      <charset val="1"/>
    </font>
    <font>
      <b/>
      <sz val="14"/>
      <name val="Microsoft JhengHei"/>
      <family val="2"/>
      <charset val="136"/>
    </font>
    <font>
      <b/>
      <sz val="14"/>
      <color rgb="FF0000FF"/>
      <name val="Calibri"/>
      <family val="2"/>
      <charset val="1"/>
    </font>
    <font>
      <sz val="16"/>
      <name val="Microsoft JhengHei"/>
      <family val="2"/>
      <charset val="136"/>
    </font>
    <font>
      <sz val="14"/>
      <color rgb="FF0000FF"/>
      <name val="Calibri"/>
      <family val="2"/>
      <charset val="1"/>
    </font>
    <font>
      <sz val="14"/>
      <name val="Calibri"/>
      <family val="2"/>
      <charset val="1"/>
    </font>
    <font>
      <sz val="14"/>
      <name val="Microsoft JhengHei"/>
      <family val="2"/>
      <charset val="136"/>
    </font>
    <font>
      <sz val="14"/>
      <color rgb="FF0084D1"/>
      <name val="Calibri"/>
      <family val="2"/>
      <charset val="1"/>
    </font>
    <font>
      <sz val="14"/>
      <color rgb="FFFF3333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4"/>
      <color rgb="FFFF0000"/>
      <name val="Microsoft YaHei"/>
      <family val="2"/>
      <charset val="136"/>
    </font>
    <font>
      <sz val="10"/>
      <name val="Microsoft YaHei"/>
      <family val="2"/>
      <charset val="136"/>
    </font>
    <font>
      <sz val="14"/>
      <color rgb="FF000000"/>
      <name val="Calibri"/>
      <family val="2"/>
      <charset val="1"/>
    </font>
    <font>
      <sz val="14"/>
      <color rgb="FF0000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name val="Microsoft JhengHei"/>
      <family val="2"/>
      <charset val="136"/>
    </font>
    <font>
      <b/>
      <u/>
      <sz val="12"/>
      <color rgb="FF000000"/>
      <name val="Calibri"/>
      <family val="2"/>
      <charset val="1"/>
    </font>
    <font>
      <b/>
      <i/>
      <sz val="12"/>
      <color rgb="FF000000"/>
      <name val="Microsoft YaHei"/>
      <family val="2"/>
      <charset val="136"/>
    </font>
    <font>
      <b/>
      <u/>
      <sz val="12"/>
      <name val="Microsoft YaHei"/>
      <family val="2"/>
      <charset val="136"/>
    </font>
    <font>
      <b/>
      <u/>
      <sz val="12"/>
      <color rgb="FF000000"/>
      <name val="Microsoft YaHei"/>
      <family val="2"/>
      <charset val="136"/>
    </font>
    <font>
      <u/>
      <sz val="14"/>
      <color rgb="FF000000"/>
      <name val="Calibri"/>
      <family val="2"/>
      <charset val="1"/>
    </font>
    <font>
      <u/>
      <vertAlign val="superscript"/>
      <sz val="14"/>
      <color rgb="FF000000"/>
      <name val="Calibri"/>
      <family val="2"/>
      <charset val="1"/>
    </font>
    <font>
      <u/>
      <sz val="12"/>
      <color rgb="FF000000"/>
      <name val="Microsoft YaHei"/>
      <family val="2"/>
      <charset val="136"/>
    </font>
    <font>
      <b/>
      <sz val="18"/>
      <color rgb="FF000000"/>
      <name val="Microsoft YaHei"/>
      <family val="2"/>
      <charset val="136"/>
    </font>
    <font>
      <sz val="14"/>
      <name val="微軟正黑體"/>
      <family val="2"/>
      <charset val="136"/>
    </font>
    <font>
      <b/>
      <u/>
      <sz val="12"/>
      <name val="Calibri"/>
      <family val="2"/>
      <charset val="1"/>
    </font>
    <font>
      <b/>
      <sz val="12"/>
      <color rgb="FF000000"/>
      <name val="Microsoft JhengHei"/>
      <family val="2"/>
      <charset val="136"/>
    </font>
    <font>
      <b/>
      <sz val="12"/>
      <name val="Microsoft JhengHei"/>
      <family val="2"/>
      <charset val="136"/>
    </font>
    <font>
      <b/>
      <u/>
      <sz val="12"/>
      <name val="Microsoft JhengHei"/>
      <family val="2"/>
      <charset val="136"/>
    </font>
    <font>
      <i/>
      <sz val="12"/>
      <name val="Calibri"/>
      <family val="2"/>
      <charset val="1"/>
    </font>
    <font>
      <i/>
      <sz val="12"/>
      <name val="Microsoft YaHei"/>
      <family val="2"/>
      <charset val="136"/>
    </font>
    <font>
      <sz val="72"/>
      <name val="Microsoft JhengHei"/>
      <family val="2"/>
      <charset val="136"/>
    </font>
    <font>
      <sz val="72"/>
      <name val="Calibri"/>
      <family val="2"/>
      <charset val="1"/>
    </font>
    <font>
      <sz val="72"/>
      <name val="Microsoft YaHei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CCCFF"/>
        <bgColor rgb="FFBDD7EE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E699"/>
      </patternFill>
    </fill>
    <fill>
      <patternFill patternType="solid">
        <fgColor rgb="FF99CCFF"/>
        <bgColor rgb="FFBDD7EE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0084D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FBFB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F3333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FF66"/>
      </patternFill>
    </fill>
    <fill>
      <patternFill patternType="solid">
        <fgColor rgb="FFFFE699"/>
        <bgColor rgb="FFFFFF99"/>
      </patternFill>
    </fill>
    <fill>
      <patternFill patternType="solid">
        <fgColor rgb="FF99CC00"/>
        <bgColor rgb="FF92D050"/>
      </patternFill>
    </fill>
    <fill>
      <patternFill patternType="solid">
        <fgColor rgb="FFBFBFBF"/>
        <bgColor rgb="FFC0C0C0"/>
      </patternFill>
    </fill>
    <fill>
      <patternFill patternType="solid">
        <fgColor rgb="FFFFFF66"/>
        <bgColor rgb="FFFFFF99"/>
      </patternFill>
    </fill>
    <fill>
      <patternFill patternType="solid">
        <fgColor rgb="FF92D050"/>
        <bgColor rgb="FF99CC00"/>
      </patternFill>
    </fill>
    <fill>
      <patternFill patternType="solid">
        <fgColor rgb="FFFFC000"/>
        <bgColor rgb="FFFFCC00"/>
      </patternFill>
    </fill>
    <fill>
      <patternFill patternType="solid">
        <fgColor rgb="FFBDD7EE"/>
        <bgColor rgb="FFCCCCFF"/>
      </patternFill>
    </fill>
    <fill>
      <patternFill patternType="solid">
        <fgColor rgb="FFD9D9D9"/>
        <bgColor rgb="FFBDD7EE"/>
      </patternFill>
    </fill>
  </fills>
  <borders count="8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rgb="FF008000"/>
      </left>
      <right style="thin">
        <color auto="1"/>
      </right>
      <top style="double">
        <color rgb="FF008000"/>
      </top>
      <bottom/>
      <diagonal/>
    </border>
    <border>
      <left style="double">
        <color rgb="FF008000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rgb="FF800080"/>
      </bottom>
      <diagonal/>
    </border>
    <border>
      <left style="thin">
        <color auto="1"/>
      </left>
      <right/>
      <top style="thin">
        <color rgb="FF800080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rgb="FF008000"/>
      </top>
      <bottom/>
      <diagonal/>
    </border>
    <border>
      <left style="thin">
        <color auto="1"/>
      </left>
      <right style="thin">
        <color auto="1"/>
      </right>
      <top/>
      <bottom style="thin">
        <color rgb="FF339966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rgb="FF008000"/>
      </top>
      <bottom/>
      <diagonal/>
    </border>
    <border>
      <left style="thin">
        <color auto="1"/>
      </left>
      <right style="thin">
        <color auto="1"/>
      </right>
      <top style="double">
        <color rgb="FF008000"/>
      </top>
      <bottom style="double">
        <color rgb="FF339966"/>
      </bottom>
      <diagonal/>
    </border>
    <border>
      <left style="thin">
        <color auto="1"/>
      </left>
      <right style="thin">
        <color auto="1"/>
      </right>
      <top style="thin">
        <color rgb="FF339966"/>
      </top>
      <bottom style="double">
        <color rgb="FF339966"/>
      </bottom>
      <diagonal/>
    </border>
    <border>
      <left/>
      <right style="thin">
        <color rgb="FF339966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rgb="FF339966"/>
      </bottom>
      <diagonal/>
    </border>
    <border>
      <left style="thin">
        <color auto="1"/>
      </left>
      <right style="thin">
        <color auto="1"/>
      </right>
      <top/>
      <bottom style="double">
        <color rgb="FF339966"/>
      </bottom>
      <diagonal/>
    </border>
    <border>
      <left/>
      <right style="thin">
        <color rgb="FF33996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8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339966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3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1" fillId="12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2" fillId="3" borderId="0" applyBorder="0" applyProtection="0">
      <alignment vertical="center"/>
    </xf>
    <xf numFmtId="0" fontId="3" fillId="4" borderId="0" applyBorder="0" applyProtection="0">
      <alignment vertical="center"/>
    </xf>
    <xf numFmtId="0" fontId="4" fillId="16" borderId="0" applyBorder="0" applyProtection="0">
      <alignment vertical="center"/>
    </xf>
    <xf numFmtId="0" fontId="5" fillId="17" borderId="1" applyProtection="0">
      <alignment vertical="center"/>
    </xf>
    <xf numFmtId="0" fontId="6" fillId="0" borderId="2" applyProtection="0">
      <alignment vertical="center"/>
    </xf>
    <xf numFmtId="0" fontId="7" fillId="0" borderId="0"/>
    <xf numFmtId="0" fontId="8" fillId="0" borderId="3" applyProtection="0">
      <alignment vertical="center"/>
    </xf>
    <xf numFmtId="0" fontId="1" fillId="0" borderId="0">
      <alignment vertical="center"/>
    </xf>
    <xf numFmtId="0" fontId="9" fillId="0" borderId="4" applyProtection="0">
      <alignment vertical="center"/>
    </xf>
    <xf numFmtId="0" fontId="9" fillId="0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5" applyProtection="0">
      <alignment vertical="center"/>
    </xf>
    <xf numFmtId="0" fontId="12" fillId="7" borderId="6" applyProtection="0">
      <alignment vertical="center"/>
    </xf>
    <xf numFmtId="0" fontId="13" fillId="18" borderId="7" applyProtection="0">
      <alignment vertical="center"/>
    </xf>
    <xf numFmtId="0" fontId="14" fillId="19" borderId="0" applyBorder="0" applyProtection="0">
      <alignment vertical="center"/>
    </xf>
    <xf numFmtId="0" fontId="14" fillId="20" borderId="0" applyBorder="0" applyProtection="0">
      <alignment vertical="center"/>
    </xf>
    <xf numFmtId="0" fontId="14" fillId="21" borderId="0" applyBorder="0" applyProtection="0">
      <alignment vertical="center"/>
    </xf>
    <xf numFmtId="0" fontId="14" fillId="13" borderId="0" applyBorder="0" applyProtection="0">
      <alignment vertical="center"/>
    </xf>
    <xf numFmtId="0" fontId="14" fillId="14" borderId="0" applyBorder="0" applyProtection="0">
      <alignment vertical="center"/>
    </xf>
    <xf numFmtId="0" fontId="14" fillId="22" borderId="0" applyBorder="0" applyProtection="0">
      <alignment vertical="center"/>
    </xf>
    <xf numFmtId="0" fontId="15" fillId="18" borderId="6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23" borderId="8" applyProtection="0">
      <alignment vertical="center"/>
    </xf>
    <xf numFmtId="0" fontId="19" fillId="0" borderId="9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580">
    <xf numFmtId="0" fontId="0" fillId="0" borderId="0" xfId="0">
      <alignment vertical="center"/>
    </xf>
    <xf numFmtId="0" fontId="40" fillId="0" borderId="12" xfId="50" applyFont="1" applyBorder="1" applyAlignment="1">
      <alignment horizontal="center" vertical="center"/>
    </xf>
    <xf numFmtId="0" fontId="122" fillId="32" borderId="12" xfId="45" applyFont="1" applyFill="1" applyBorder="1" applyAlignment="1">
      <alignment horizontal="center" vertical="center"/>
    </xf>
    <xf numFmtId="0" fontId="40" fillId="30" borderId="12" xfId="45" applyFont="1" applyFill="1" applyBorder="1" applyAlignment="1">
      <alignment horizontal="center" vertical="center"/>
    </xf>
    <xf numFmtId="0" fontId="40" fillId="30" borderId="12" xfId="0" applyFont="1" applyFill="1" applyBorder="1" applyAlignment="1">
      <alignment horizontal="center" vertical="center"/>
    </xf>
    <xf numFmtId="0" fontId="47" fillId="31" borderId="13" xfId="50" applyFont="1" applyFill="1" applyBorder="1" applyAlignment="1">
      <alignment horizontal="center" vertical="center"/>
    </xf>
    <xf numFmtId="0" fontId="40" fillId="31" borderId="12" xfId="45" applyFont="1" applyFill="1" applyBorder="1" applyAlignment="1">
      <alignment horizontal="center" vertical="center"/>
    </xf>
    <xf numFmtId="0" fontId="47" fillId="31" borderId="12" xfId="50" applyFont="1" applyFill="1" applyBorder="1" applyAlignment="1">
      <alignment horizontal="center" vertical="center"/>
    </xf>
    <xf numFmtId="0" fontId="115" fillId="0" borderId="12" xfId="49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 vertical="center"/>
    </xf>
    <xf numFmtId="0" fontId="21" fillId="0" borderId="12" xfId="51" applyFont="1" applyBorder="1" applyAlignment="1">
      <alignment horizontal="center"/>
    </xf>
    <xf numFmtId="0" fontId="40" fillId="0" borderId="12" xfId="51" applyFont="1" applyBorder="1" applyAlignment="1">
      <alignment horizontal="center"/>
    </xf>
    <xf numFmtId="0" fontId="40" fillId="0" borderId="12" xfId="49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9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2" fillId="24" borderId="22" xfId="0" applyFont="1" applyFill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2" fillId="24" borderId="28" xfId="0" applyFont="1" applyFill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2" fillId="25" borderId="12" xfId="0" applyFont="1" applyFill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2" fillId="25" borderId="30" xfId="0" applyFont="1" applyFill="1" applyBorder="1" applyAlignment="1">
      <alignment horizontal="center" vertical="center"/>
    </xf>
    <xf numFmtId="0" fontId="39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2" fillId="25" borderId="39" xfId="0" applyFont="1" applyFill="1" applyBorder="1" applyAlignment="1">
      <alignment horizontal="center" vertical="center"/>
    </xf>
    <xf numFmtId="0" fontId="42" fillId="24" borderId="40" xfId="0" applyFont="1" applyFill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40" fillId="16" borderId="21" xfId="0" applyFont="1" applyFill="1" applyBorder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40" fillId="26" borderId="13" xfId="0" applyFont="1" applyFill="1" applyBorder="1" applyAlignment="1">
      <alignment horizontal="center"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46" fillId="0" borderId="0" xfId="48" applyFont="1"/>
    <xf numFmtId="0" fontId="46" fillId="0" borderId="0" xfId="48" applyFont="1" applyAlignment="1">
      <alignment horizontal="center"/>
    </xf>
    <xf numFmtId="0" fontId="46" fillId="0" borderId="0" xfId="48" applyFont="1" applyAlignment="1">
      <alignment horizontal="center" vertical="center"/>
    </xf>
    <xf numFmtId="0" fontId="47" fillId="0" borderId="0" xfId="52" applyFont="1" applyAlignment="1">
      <alignment horizontal="left"/>
    </xf>
    <xf numFmtId="0" fontId="49" fillId="0" borderId="0" xfId="52" applyFont="1" applyAlignment="1">
      <alignment horizontal="right"/>
    </xf>
    <xf numFmtId="0" fontId="49" fillId="0" borderId="0" xfId="52" applyFont="1" applyAlignment="1">
      <alignment horizontal="center"/>
    </xf>
    <xf numFmtId="0" fontId="49" fillId="0" borderId="0" xfId="52" applyFont="1"/>
    <xf numFmtId="0" fontId="40" fillId="0" borderId="0" xfId="52" applyFont="1" applyAlignment="1">
      <alignment horizontal="left"/>
    </xf>
    <xf numFmtId="0" fontId="20" fillId="0" borderId="0" xfId="52" applyAlignment="1">
      <alignment horizontal="right"/>
    </xf>
    <xf numFmtId="0" fontId="20" fillId="0" borderId="0" xfId="52" applyAlignment="1">
      <alignment horizontal="center"/>
    </xf>
    <xf numFmtId="0" fontId="20" fillId="0" borderId="0" xfId="52"/>
    <xf numFmtId="0" fontId="0" fillId="0" borderId="0" xfId="48" applyFont="1" applyAlignment="1">
      <alignment horizontal="center" vertical="center"/>
    </xf>
    <xf numFmtId="0" fontId="0" fillId="0" borderId="0" xfId="48" applyFont="1"/>
    <xf numFmtId="0" fontId="0" fillId="0" borderId="0" xfId="48" applyFont="1" applyAlignment="1">
      <alignment horizontal="center" vertical="top" wrapText="1"/>
    </xf>
    <xf numFmtId="0" fontId="40" fillId="0" borderId="12" xfId="48" applyFont="1" applyBorder="1" applyAlignment="1">
      <alignment horizontal="center" vertical="top" wrapText="1"/>
    </xf>
    <xf numFmtId="0" fontId="40" fillId="0" borderId="12" xfId="48" applyFont="1" applyBorder="1" applyAlignment="1">
      <alignment horizontal="center" vertical="center" wrapText="1"/>
    </xf>
    <xf numFmtId="0" fontId="52" fillId="0" borderId="0" xfId="48" applyFont="1" applyAlignment="1">
      <alignment horizontal="center" vertical="top" wrapText="1"/>
    </xf>
    <xf numFmtId="0" fontId="39" fillId="0" borderId="12" xfId="48" applyFont="1" applyBorder="1" applyAlignment="1">
      <alignment horizontal="center" vertical="top" wrapText="1"/>
    </xf>
    <xf numFmtId="0" fontId="39" fillId="0" borderId="12" xfId="48" applyFont="1" applyBorder="1" applyAlignment="1">
      <alignment horizontal="center" vertical="center" wrapText="1"/>
    </xf>
    <xf numFmtId="0" fontId="46" fillId="0" borderId="0" xfId="48" applyFont="1" applyAlignment="1">
      <alignment horizontal="left"/>
    </xf>
    <xf numFmtId="0" fontId="52" fillId="0" borderId="0" xfId="48" applyFont="1" applyAlignment="1">
      <alignment horizontal="center" vertical="center" wrapText="1"/>
    </xf>
    <xf numFmtId="0" fontId="0" fillId="0" borderId="0" xfId="48" applyFont="1" applyAlignment="1">
      <alignment horizontal="left"/>
    </xf>
    <xf numFmtId="0" fontId="51" fillId="0" borderId="0" xfId="52" applyFont="1" applyAlignment="1">
      <alignment horizontal="left"/>
    </xf>
    <xf numFmtId="0" fontId="0" fillId="0" borderId="0" xfId="48" applyFont="1" applyAlignment="1">
      <alignment horizontal="center"/>
    </xf>
    <xf numFmtId="0" fontId="47" fillId="0" borderId="12" xfId="48" applyFont="1" applyBorder="1" applyAlignment="1">
      <alignment horizontal="center"/>
    </xf>
    <xf numFmtId="0" fontId="53" fillId="0" borderId="14" xfId="48" applyFont="1" applyBorder="1"/>
    <xf numFmtId="0" fontId="54" fillId="0" borderId="17" xfId="0" applyFont="1" applyBorder="1" applyAlignment="1">
      <alignment horizontal="center"/>
    </xf>
    <xf numFmtId="0" fontId="55" fillId="0" borderId="10" xfId="48" applyFont="1" applyBorder="1" applyAlignment="1">
      <alignment horizontal="center"/>
    </xf>
    <xf numFmtId="0" fontId="55" fillId="0" borderId="0" xfId="48" applyFont="1"/>
    <xf numFmtId="0" fontId="55" fillId="0" borderId="0" xfId="48" applyFont="1" applyAlignment="1">
      <alignment horizontal="center" vertical="center"/>
    </xf>
    <xf numFmtId="49" fontId="56" fillId="0" borderId="17" xfId="48" applyNumberFormat="1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57" fillId="0" borderId="0" xfId="0" applyFont="1" applyAlignment="1">
      <alignment horizontal="center"/>
    </xf>
    <xf numFmtId="0" fontId="58" fillId="0" borderId="30" xfId="48" applyFont="1" applyBorder="1"/>
    <xf numFmtId="0" fontId="55" fillId="0" borderId="32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>
      <alignment vertical="center"/>
    </xf>
    <xf numFmtId="0" fontId="55" fillId="0" borderId="12" xfId="0" applyFont="1" applyBorder="1" applyAlignment="1">
      <alignment horizontal="center" vertical="center"/>
    </xf>
    <xf numFmtId="0" fontId="46" fillId="0" borderId="10" xfId="48" applyFont="1" applyBorder="1"/>
    <xf numFmtId="49" fontId="60" fillId="0" borderId="17" xfId="48" applyNumberFormat="1" applyFont="1" applyBorder="1" applyAlignment="1">
      <alignment horizontal="center"/>
    </xf>
    <xf numFmtId="0" fontId="55" fillId="0" borderId="17" xfId="0" applyFont="1" applyBorder="1" applyAlignment="1">
      <alignment horizontal="center" vertical="center"/>
    </xf>
    <xf numFmtId="0" fontId="58" fillId="0" borderId="14" xfId="48" applyFont="1" applyBorder="1" applyAlignment="1">
      <alignment horizontal="left"/>
    </xf>
    <xf numFmtId="0" fontId="55" fillId="0" borderId="17" xfId="0" applyFont="1" applyBorder="1" applyAlignment="1">
      <alignment horizontal="center"/>
    </xf>
    <xf numFmtId="0" fontId="55" fillId="0" borderId="15" xfId="0" applyFont="1" applyBorder="1">
      <alignment vertical="center"/>
    </xf>
    <xf numFmtId="0" fontId="46" fillId="0" borderId="43" xfId="48" applyFont="1" applyBorder="1"/>
    <xf numFmtId="0" fontId="61" fillId="0" borderId="0" xfId="0" applyFont="1" applyAlignment="1">
      <alignment horizontal="center"/>
    </xf>
    <xf numFmtId="49" fontId="62" fillId="0" borderId="17" xfId="48" applyNumberFormat="1" applyFont="1" applyBorder="1" applyAlignment="1">
      <alignment horizont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3" fillId="0" borderId="31" xfId="48" applyFont="1" applyBorder="1" applyAlignment="1">
      <alignment horizontal="left"/>
    </xf>
    <xf numFmtId="0" fontId="65" fillId="0" borderId="0" xfId="0" applyFont="1" applyAlignment="1">
      <alignment horizontal="center"/>
    </xf>
    <xf numFmtId="0" fontId="54" fillId="0" borderId="17" xfId="0" applyFont="1" applyBorder="1" applyAlignment="1">
      <alignment horizontal="center" vertical="center"/>
    </xf>
    <xf numFmtId="49" fontId="62" fillId="0" borderId="17" xfId="48" applyNumberFormat="1" applyFont="1" applyBorder="1" applyAlignment="1">
      <alignment horizontal="center" vertical="center"/>
    </xf>
    <xf numFmtId="0" fontId="46" fillId="0" borderId="10" xfId="48" applyFont="1" applyBorder="1" applyAlignment="1">
      <alignment horizontal="center"/>
    </xf>
    <xf numFmtId="0" fontId="61" fillId="0" borderId="0" xfId="48" applyFont="1"/>
    <xf numFmtId="0" fontId="47" fillId="0" borderId="30" xfId="48" applyFont="1" applyBorder="1" applyAlignment="1">
      <alignment horizontal="center"/>
    </xf>
    <xf numFmtId="0" fontId="53" fillId="0" borderId="14" xfId="48" applyFont="1" applyBorder="1" applyAlignment="1">
      <alignment horizontal="left"/>
    </xf>
    <xf numFmtId="0" fontId="55" fillId="0" borderId="15" xfId="0" applyFont="1" applyBorder="1" applyAlignment="1">
      <alignment horizontal="center"/>
    </xf>
    <xf numFmtId="0" fontId="26" fillId="0" borderId="17" xfId="48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0" xfId="48" applyFont="1" applyAlignment="1">
      <alignment horizontal="right"/>
    </xf>
    <xf numFmtId="49" fontId="58" fillId="0" borderId="31" xfId="48" applyNumberFormat="1" applyFont="1" applyBorder="1" applyAlignment="1">
      <alignment horizontal="left"/>
    </xf>
    <xf numFmtId="0" fontId="46" fillId="0" borderId="13" xfId="48" applyFont="1" applyBorder="1" applyAlignment="1">
      <alignment horizontal="center"/>
    </xf>
    <xf numFmtId="0" fontId="55" fillId="0" borderId="11" xfId="0" applyFont="1" applyBorder="1">
      <alignment vertical="center"/>
    </xf>
    <xf numFmtId="0" fontId="55" fillId="0" borderId="12" xfId="48" applyFont="1" applyBorder="1" applyAlignment="1">
      <alignment horizontal="center" vertical="center"/>
    </xf>
    <xf numFmtId="0" fontId="55" fillId="0" borderId="10" xfId="0" applyFont="1" applyBorder="1" applyAlignment="1">
      <alignment horizontal="center"/>
    </xf>
    <xf numFmtId="0" fontId="55" fillId="0" borderId="10" xfId="48" applyFont="1" applyBorder="1"/>
    <xf numFmtId="0" fontId="55" fillId="0" borderId="10" xfId="48" applyFont="1" applyBorder="1" applyAlignment="1">
      <alignment horizontal="center" vertical="center"/>
    </xf>
    <xf numFmtId="0" fontId="47" fillId="0" borderId="12" xfId="48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54" fillId="0" borderId="32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1" fillId="0" borderId="0" xfId="48" applyFont="1" applyAlignment="1">
      <alignment horizontal="center" vertical="center"/>
    </xf>
    <xf numFmtId="49" fontId="66" fillId="0" borderId="0" xfId="48" applyNumberFormat="1" applyFont="1" applyAlignment="1">
      <alignment horizontal="center"/>
    </xf>
    <xf numFmtId="0" fontId="46" fillId="0" borderId="17" xfId="0" applyFont="1" applyBorder="1" applyAlignment="1">
      <alignment horizontal="center"/>
    </xf>
    <xf numFmtId="49" fontId="66" fillId="0" borderId="17" xfId="48" applyNumberFormat="1" applyFont="1" applyBorder="1" applyAlignment="1">
      <alignment horizontal="center"/>
    </xf>
    <xf numFmtId="0" fontId="55" fillId="0" borderId="0" xfId="48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27" xfId="48" applyFont="1" applyBorder="1" applyAlignment="1">
      <alignment horizontal="center"/>
    </xf>
    <xf numFmtId="0" fontId="55" fillId="0" borderId="15" xfId="48" applyFont="1" applyBorder="1"/>
    <xf numFmtId="0" fontId="55" fillId="0" borderId="14" xfId="48" applyFont="1" applyBorder="1" applyAlignment="1">
      <alignment horizontal="center"/>
    </xf>
    <xf numFmtId="49" fontId="26" fillId="0" borderId="17" xfId="48" applyNumberFormat="1" applyFont="1" applyBorder="1" applyAlignment="1">
      <alignment horizontal="center"/>
    </xf>
    <xf numFmtId="0" fontId="55" fillId="0" borderId="17" xfId="48" applyFont="1" applyBorder="1" applyAlignment="1">
      <alignment horizontal="center"/>
    </xf>
    <xf numFmtId="0" fontId="54" fillId="0" borderId="0" xfId="0" applyFont="1" applyAlignment="1">
      <alignment horizontal="center"/>
    </xf>
    <xf numFmtId="0" fontId="0" fillId="0" borderId="30" xfId="44" applyFont="1" applyBorder="1" applyAlignment="1">
      <alignment horizontal="center"/>
    </xf>
    <xf numFmtId="0" fontId="62" fillId="0" borderId="17" xfId="48" applyFont="1" applyBorder="1" applyAlignment="1">
      <alignment horizontal="right" vertical="center"/>
    </xf>
    <xf numFmtId="0" fontId="64" fillId="0" borderId="32" xfId="0" applyFont="1" applyBorder="1" applyAlignment="1">
      <alignment horizontal="center"/>
    </xf>
    <xf numFmtId="0" fontId="67" fillId="0" borderId="0" xfId="0" applyFont="1">
      <alignment vertical="center"/>
    </xf>
    <xf numFmtId="0" fontId="63" fillId="0" borderId="0" xfId="0" applyFont="1">
      <alignment vertical="center"/>
    </xf>
    <xf numFmtId="0" fontId="64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64" fillId="0" borderId="12" xfId="48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69" fillId="0" borderId="0" xfId="0" applyFont="1" applyAlignment="1">
      <alignment horizontal="right"/>
    </xf>
    <xf numFmtId="0" fontId="70" fillId="0" borderId="0" xfId="0" applyFont="1" applyAlignment="1">
      <alignment horizontal="center"/>
    </xf>
    <xf numFmtId="0" fontId="58" fillId="0" borderId="0" xfId="48" applyFont="1"/>
    <xf numFmtId="0" fontId="7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49" fontId="66" fillId="0" borderId="0" xfId="48" applyNumberFormat="1" applyFont="1" applyAlignment="1">
      <alignment horizontal="center" vertical="center"/>
    </xf>
    <xf numFmtId="0" fontId="70" fillId="0" borderId="0" xfId="0" applyFont="1">
      <alignment vertical="center"/>
    </xf>
    <xf numFmtId="0" fontId="58" fillId="0" borderId="0" xfId="48" applyFont="1" applyAlignment="1">
      <alignment horizontal="right"/>
    </xf>
    <xf numFmtId="0" fontId="58" fillId="0" borderId="0" xfId="48" applyFont="1" applyAlignment="1">
      <alignment horizontal="center"/>
    </xf>
    <xf numFmtId="0" fontId="72" fillId="0" borderId="0" xfId="48" applyFont="1" applyAlignment="1">
      <alignment horizontal="center" vertical="center"/>
    </xf>
    <xf numFmtId="0" fontId="58" fillId="0" borderId="0" xfId="48" applyFont="1" applyAlignment="1">
      <alignment horizontal="center" vertical="center"/>
    </xf>
    <xf numFmtId="0" fontId="73" fillId="0" borderId="0" xfId="0" applyFont="1" applyAlignment="1">
      <alignment horizontal="center"/>
    </xf>
    <xf numFmtId="0" fontId="73" fillId="0" borderId="0" xfId="48" applyFont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horizontal="center" vertical="center"/>
    </xf>
    <xf numFmtId="0" fontId="74" fillId="0" borderId="0" xfId="0" applyFont="1">
      <alignment vertical="center"/>
    </xf>
    <xf numFmtId="0" fontId="59" fillId="0" borderId="0" xfId="0" applyFont="1">
      <alignment vertical="center"/>
    </xf>
    <xf numFmtId="0" fontId="0" fillId="0" borderId="0" xfId="44" applyFont="1" applyAlignment="1">
      <alignment horizontal="center"/>
    </xf>
    <xf numFmtId="0" fontId="75" fillId="0" borderId="0" xfId="0" applyFont="1">
      <alignment vertical="center"/>
    </xf>
    <xf numFmtId="0" fontId="0" fillId="0" borderId="0" xfId="44" applyFont="1"/>
    <xf numFmtId="0" fontId="0" fillId="0" borderId="0" xfId="44" applyFont="1" applyAlignment="1">
      <alignment horizontal="left"/>
    </xf>
    <xf numFmtId="0" fontId="76" fillId="0" borderId="0" xfId="49" applyFont="1" applyAlignment="1">
      <alignment horizontal="left"/>
    </xf>
    <xf numFmtId="0" fontId="20" fillId="0" borderId="0" xfId="49" applyFont="1" applyAlignment="1">
      <alignment horizontal="center"/>
    </xf>
    <xf numFmtId="0" fontId="20" fillId="0" borderId="0" xfId="49" applyFont="1" applyAlignment="1">
      <alignment horizontal="left"/>
    </xf>
    <xf numFmtId="0" fontId="20" fillId="0" borderId="0" xfId="49" applyFont="1"/>
    <xf numFmtId="0" fontId="77" fillId="0" borderId="0" xfId="44" applyFont="1"/>
    <xf numFmtId="0" fontId="78" fillId="0" borderId="0" xfId="49" applyFont="1" applyAlignment="1">
      <alignment horizontal="left"/>
    </xf>
    <xf numFmtId="0" fontId="80" fillId="0" borderId="0" xfId="49" applyFont="1" applyAlignment="1">
      <alignment horizontal="center"/>
    </xf>
    <xf numFmtId="0" fontId="81" fillId="0" borderId="0" xfId="49" applyFont="1" applyAlignment="1">
      <alignment horizontal="center"/>
    </xf>
    <xf numFmtId="0" fontId="82" fillId="0" borderId="0" xfId="44" applyFont="1" applyAlignment="1">
      <alignment horizontal="center"/>
    </xf>
    <xf numFmtId="0" fontId="36" fillId="0" borderId="10" xfId="44" applyFont="1" applyBorder="1" applyAlignment="1">
      <alignment horizontal="center"/>
    </xf>
    <xf numFmtId="0" fontId="21" fillId="0" borderId="0" xfId="44" applyFont="1" applyAlignment="1">
      <alignment horizontal="center"/>
    </xf>
    <xf numFmtId="0" fontId="40" fillId="0" borderId="13" xfId="44" applyFont="1" applyBorder="1" applyAlignment="1">
      <alignment horizontal="center"/>
    </xf>
    <xf numFmtId="0" fontId="40" fillId="0" borderId="12" xfId="49" applyFont="1" applyBorder="1" applyAlignment="1">
      <alignment horizontal="center"/>
    </xf>
    <xf numFmtId="0" fontId="40" fillId="0" borderId="27" xfId="44" applyFont="1" applyBorder="1" applyAlignment="1">
      <alignment horizontal="center"/>
    </xf>
    <xf numFmtId="0" fontId="0" fillId="0" borderId="12" xfId="44" applyFont="1" applyBorder="1"/>
    <xf numFmtId="0" fontId="0" fillId="0" borderId="12" xfId="44" applyFont="1" applyBorder="1" applyAlignment="1">
      <alignment horizontal="center"/>
    </xf>
    <xf numFmtId="0" fontId="40" fillId="0" borderId="16" xfId="44" applyFont="1" applyBorder="1" applyAlignment="1">
      <alignment horizontal="center"/>
    </xf>
    <xf numFmtId="0" fontId="21" fillId="0" borderId="12" xfId="51" applyFont="1" applyBorder="1" applyAlignment="1">
      <alignment horizontal="center"/>
    </xf>
    <xf numFmtId="0" fontId="40" fillId="0" borderId="15" xfId="44" applyFont="1" applyBorder="1" applyAlignment="1">
      <alignment horizontal="center"/>
    </xf>
    <xf numFmtId="0" fontId="40" fillId="0" borderId="45" xfId="44" applyFont="1" applyBorder="1" applyAlignment="1">
      <alignment horizontal="center"/>
    </xf>
    <xf numFmtId="0" fontId="40" fillId="0" borderId="11" xfId="46" applyFont="1" applyBorder="1" applyAlignment="1">
      <alignment horizontal="center"/>
    </xf>
    <xf numFmtId="0" fontId="40" fillId="0" borderId="13" xfId="46" applyFont="1" applyBorder="1" applyAlignment="1">
      <alignment horizontal="right"/>
    </xf>
    <xf numFmtId="0" fontId="40" fillId="0" borderId="13" xfId="46" applyFont="1" applyBorder="1" applyAlignment="1">
      <alignment horizontal="left"/>
    </xf>
    <xf numFmtId="0" fontId="40" fillId="0" borderId="43" xfId="46" applyFont="1" applyBorder="1" applyAlignment="1">
      <alignment horizontal="center"/>
    </xf>
    <xf numFmtId="0" fontId="40" fillId="0" borderId="12" xfId="44" applyFont="1" applyBorder="1" applyAlignment="1">
      <alignment horizontal="center"/>
    </xf>
    <xf numFmtId="0" fontId="0" fillId="0" borderId="24" xfId="44" applyFont="1" applyBorder="1" applyAlignment="1">
      <alignment horizontal="center"/>
    </xf>
    <xf numFmtId="0" fontId="40" fillId="0" borderId="0" xfId="44" applyFont="1" applyAlignment="1">
      <alignment horizontal="right"/>
    </xf>
    <xf numFmtId="0" fontId="40" fillId="0" borderId="0" xfId="44" applyFont="1" applyAlignment="1">
      <alignment horizontal="left"/>
    </xf>
    <xf numFmtId="0" fontId="40" fillId="0" borderId="46" xfId="44" applyFont="1" applyBorder="1" applyAlignment="1">
      <alignment horizontal="center"/>
    </xf>
    <xf numFmtId="0" fontId="40" fillId="0" borderId="27" xfId="46" applyFont="1" applyBorder="1" applyAlignment="1">
      <alignment horizontal="center"/>
    </xf>
    <xf numFmtId="0" fontId="40" fillId="0" borderId="16" xfId="46" applyFont="1" applyBorder="1" applyAlignment="1">
      <alignment horizontal="right"/>
    </xf>
    <xf numFmtId="0" fontId="40" fillId="0" borderId="16" xfId="46" applyFont="1" applyBorder="1" applyAlignment="1">
      <alignment horizontal="left"/>
    </xf>
    <xf numFmtId="0" fontId="40" fillId="0" borderId="0" xfId="46" applyFont="1" applyAlignment="1">
      <alignment horizontal="center"/>
    </xf>
    <xf numFmtId="0" fontId="40" fillId="0" borderId="0" xfId="46" applyFont="1" applyBorder="1" applyAlignment="1">
      <alignment horizontal="center"/>
    </xf>
    <xf numFmtId="0" fontId="0" fillId="0" borderId="12" xfId="44" applyFont="1" applyBorder="1" applyAlignment="1">
      <alignment horizontal="left"/>
    </xf>
    <xf numFmtId="0" fontId="40" fillId="0" borderId="13" xfId="44" applyFont="1" applyBorder="1"/>
    <xf numFmtId="0" fontId="0" fillId="0" borderId="13" xfId="44" applyFont="1" applyBorder="1" applyAlignment="1">
      <alignment horizontal="left"/>
    </xf>
    <xf numFmtId="0" fontId="0" fillId="27" borderId="12" xfId="44" applyFont="1" applyFill="1" applyBorder="1"/>
    <xf numFmtId="0" fontId="43" fillId="27" borderId="12" xfId="44" applyFont="1" applyFill="1" applyBorder="1" applyAlignment="1">
      <alignment horizontal="left"/>
    </xf>
    <xf numFmtId="0" fontId="40" fillId="0" borderId="30" xfId="46" applyFont="1" applyBorder="1" applyAlignment="1">
      <alignment horizontal="right"/>
    </xf>
    <xf numFmtId="0" fontId="40" fillId="0" borderId="30" xfId="46" applyFont="1" applyBorder="1" applyAlignment="1">
      <alignment horizontal="left"/>
    </xf>
    <xf numFmtId="0" fontId="40" fillId="0" borderId="10" xfId="46" applyFont="1" applyBorder="1" applyAlignment="1">
      <alignment horizontal="center"/>
    </xf>
    <xf numFmtId="0" fontId="40" fillId="0" borderId="13" xfId="46" applyFont="1" applyBorder="1" applyAlignment="1">
      <alignment horizontal="center"/>
    </xf>
    <xf numFmtId="0" fontId="40" fillId="0" borderId="11" xfId="46" applyFont="1" applyBorder="1" applyAlignment="1">
      <alignment horizontal="right"/>
    </xf>
    <xf numFmtId="0" fontId="43" fillId="0" borderId="0" xfId="44" applyFont="1" applyAlignment="1">
      <alignment horizontal="left"/>
    </xf>
    <xf numFmtId="0" fontId="40" fillId="0" borderId="12" xfId="46" applyFont="1" applyBorder="1" applyAlignment="1">
      <alignment horizontal="center"/>
    </xf>
    <xf numFmtId="0" fontId="40" fillId="0" borderId="12" xfId="44" applyFont="1" applyBorder="1" applyAlignment="1">
      <alignment horizontal="left"/>
    </xf>
    <xf numFmtId="0" fontId="43" fillId="0" borderId="12" xfId="44" applyFont="1" applyBorder="1" applyAlignment="1">
      <alignment horizontal="left"/>
    </xf>
    <xf numFmtId="0" fontId="43" fillId="0" borderId="13" xfId="44" applyFont="1" applyBorder="1" applyAlignment="1">
      <alignment horizontal="left"/>
    </xf>
    <xf numFmtId="0" fontId="40" fillId="0" borderId="0" xfId="46" applyFont="1" applyAlignment="1">
      <alignment horizontal="right"/>
    </xf>
    <xf numFmtId="0" fontId="40" fillId="0" borderId="15" xfId="46" applyFont="1" applyBorder="1" applyAlignment="1">
      <alignment horizontal="left"/>
    </xf>
    <xf numFmtId="0" fontId="40" fillId="0" borderId="15" xfId="46" applyFont="1" applyBorder="1" applyAlignment="1">
      <alignment horizontal="center"/>
    </xf>
    <xf numFmtId="0" fontId="40" fillId="0" borderId="17" xfId="46" applyFont="1" applyBorder="1" applyAlignment="1">
      <alignment horizontal="right"/>
    </xf>
    <xf numFmtId="0" fontId="0" fillId="27" borderId="13" xfId="44" applyFont="1" applyFill="1" applyBorder="1"/>
    <xf numFmtId="0" fontId="40" fillId="27" borderId="13" xfId="44" applyFont="1" applyFill="1" applyBorder="1" applyAlignment="1">
      <alignment horizontal="left"/>
    </xf>
    <xf numFmtId="0" fontId="40" fillId="0" borderId="24" xfId="44" applyFont="1" applyBorder="1" applyAlignment="1">
      <alignment horizontal="center"/>
    </xf>
    <xf numFmtId="0" fontId="40" fillId="27" borderId="12" xfId="44" applyFont="1" applyFill="1" applyBorder="1" applyAlignment="1">
      <alignment horizontal="left"/>
    </xf>
    <xf numFmtId="0" fontId="40" fillId="0" borderId="32" xfId="46" applyFont="1" applyBorder="1" applyAlignment="1">
      <alignment horizontal="center"/>
    </xf>
    <xf numFmtId="0" fontId="40" fillId="0" borderId="15" xfId="46" applyFont="1" applyBorder="1" applyAlignment="1">
      <alignment horizontal="right"/>
    </xf>
    <xf numFmtId="0" fontId="0" fillId="0" borderId="0" xfId="0" applyFont="1" applyAlignment="1">
      <alignment horizontal="right" vertical="center"/>
    </xf>
    <xf numFmtId="0" fontId="40" fillId="0" borderId="13" xfId="44" applyFont="1" applyBorder="1" applyAlignment="1">
      <alignment horizontal="left"/>
    </xf>
    <xf numFmtId="0" fontId="0" fillId="0" borderId="0" xfId="0" applyFont="1">
      <alignment vertical="center"/>
    </xf>
    <xf numFmtId="0" fontId="40" fillId="0" borderId="32" xfId="46" applyFont="1" applyBorder="1" applyAlignment="1">
      <alignment horizontal="right"/>
    </xf>
    <xf numFmtId="0" fontId="0" fillId="0" borderId="0" xfId="44" applyFont="1" applyBorder="1"/>
    <xf numFmtId="0" fontId="83" fillId="0" borderId="0" xfId="0" applyFont="1">
      <alignment vertical="center"/>
    </xf>
    <xf numFmtId="0" fontId="83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>
      <alignment vertical="center"/>
    </xf>
    <xf numFmtId="0" fontId="76" fillId="0" borderId="0" xfId="0" applyFont="1">
      <alignment vertical="center"/>
    </xf>
    <xf numFmtId="0" fontId="85" fillId="0" borderId="0" xfId="0" applyFont="1">
      <alignment vertical="center"/>
    </xf>
    <xf numFmtId="0" fontId="87" fillId="0" borderId="0" xfId="0" applyFont="1">
      <alignment vertical="center"/>
    </xf>
    <xf numFmtId="0" fontId="29" fillId="0" borderId="10" xfId="0" applyFont="1" applyBorder="1">
      <alignment vertical="center"/>
    </xf>
    <xf numFmtId="0" fontId="0" fillId="0" borderId="10" xfId="0" applyFont="1" applyBorder="1">
      <alignment vertical="center"/>
    </xf>
    <xf numFmtId="0" fontId="88" fillId="0" borderId="11" xfId="0" applyFont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/>
    </xf>
    <xf numFmtId="0" fontId="89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90" fillId="0" borderId="13" xfId="0" applyFont="1" applyBorder="1" applyAlignment="1">
      <alignment horizontal="center" vertical="center" wrapText="1"/>
    </xf>
    <xf numFmtId="0" fontId="91" fillId="0" borderId="13" xfId="0" applyFont="1" applyBorder="1" applyAlignment="1">
      <alignment horizontal="center" vertical="center" wrapText="1"/>
    </xf>
    <xf numFmtId="0" fontId="92" fillId="0" borderId="16" xfId="0" applyFont="1" applyBorder="1" applyAlignment="1">
      <alignment horizontal="center" vertical="center"/>
    </xf>
    <xf numFmtId="0" fontId="91" fillId="0" borderId="13" xfId="0" applyFont="1" applyBorder="1" applyAlignment="1">
      <alignment horizontal="center" vertical="center"/>
    </xf>
    <xf numFmtId="0" fontId="89" fillId="0" borderId="15" xfId="0" applyFont="1" applyBorder="1" applyAlignment="1">
      <alignment horizontal="center" vertical="center" wrapText="1"/>
    </xf>
    <xf numFmtId="0" fontId="91" fillId="0" borderId="16" xfId="0" applyFont="1" applyBorder="1" applyAlignment="1">
      <alignment horizontal="center" vertical="center"/>
    </xf>
    <xf numFmtId="0" fontId="91" fillId="0" borderId="17" xfId="0" applyFont="1" applyBorder="1" applyAlignment="1">
      <alignment horizontal="center" vertical="center" wrapText="1"/>
    </xf>
    <xf numFmtId="0" fontId="90" fillId="0" borderId="16" xfId="0" applyFont="1" applyBorder="1" applyAlignment="1">
      <alignment horizontal="center" vertical="center" wrapText="1"/>
    </xf>
    <xf numFmtId="0" fontId="89" fillId="0" borderId="16" xfId="0" applyFont="1" applyBorder="1" applyAlignment="1">
      <alignment horizontal="center" vertical="center" wrapText="1"/>
    </xf>
    <xf numFmtId="0" fontId="91" fillId="0" borderId="39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91" fillId="0" borderId="38" xfId="0" applyFont="1" applyBorder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93" fillId="0" borderId="0" xfId="0" applyFont="1">
      <alignment vertical="center"/>
    </xf>
    <xf numFmtId="0" fontId="0" fillId="0" borderId="0" xfId="0" applyFont="1" applyBorder="1">
      <alignment vertical="center"/>
    </xf>
    <xf numFmtId="0" fontId="94" fillId="0" borderId="47" xfId="0" applyFont="1" applyBorder="1" applyAlignment="1">
      <alignment horizontal="center" vertical="center"/>
    </xf>
    <xf numFmtId="0" fontId="95" fillId="0" borderId="21" xfId="0" applyFont="1" applyBorder="1" applyAlignment="1">
      <alignment horizontal="center" vertical="center"/>
    </xf>
    <xf numFmtId="0" fontId="96" fillId="0" borderId="21" xfId="0" applyFont="1" applyBorder="1" applyAlignment="1">
      <alignment horizontal="center" vertical="center"/>
    </xf>
    <xf numFmtId="0" fontId="97" fillId="0" borderId="21" xfId="0" applyFont="1" applyBorder="1" applyAlignment="1">
      <alignment horizontal="center" vertical="center"/>
    </xf>
    <xf numFmtId="0" fontId="98" fillId="24" borderId="48" xfId="0" applyFont="1" applyFill="1" applyBorder="1" applyAlignment="1">
      <alignment horizontal="center" vertical="center"/>
    </xf>
    <xf numFmtId="0" fontId="95" fillId="0" borderId="23" xfId="0" applyFont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94" fillId="0" borderId="49" xfId="0" applyFont="1" applyBorder="1" applyAlignment="1">
      <alignment horizontal="center" vertical="center"/>
    </xf>
    <xf numFmtId="0" fontId="95" fillId="0" borderId="12" xfId="0" applyFont="1" applyBorder="1" applyAlignment="1">
      <alignment horizontal="center" vertical="center"/>
    </xf>
    <xf numFmtId="0" fontId="96" fillId="0" borderId="12" xfId="0" applyFont="1" applyBorder="1" applyAlignment="1">
      <alignment horizontal="center" vertical="center"/>
    </xf>
    <xf numFmtId="0" fontId="97" fillId="0" borderId="30" xfId="0" applyFont="1" applyBorder="1" applyAlignment="1">
      <alignment horizontal="center" vertical="center"/>
    </xf>
    <xf numFmtId="0" fontId="98" fillId="24" borderId="28" xfId="0" applyFont="1" applyFill="1" applyBorder="1" applyAlignment="1">
      <alignment horizontal="center" vertical="center"/>
    </xf>
    <xf numFmtId="0" fontId="95" fillId="0" borderId="29" xfId="0" applyFont="1" applyBorder="1" applyAlignment="1">
      <alignment horizontal="center" vertical="center"/>
    </xf>
    <xf numFmtId="0" fontId="99" fillId="25" borderId="12" xfId="0" applyFont="1" applyFill="1" applyBorder="1" applyAlignment="1">
      <alignment horizontal="center" vertical="center"/>
    </xf>
    <xf numFmtId="0" fontId="97" fillId="0" borderId="12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100" fillId="0" borderId="24" xfId="0" applyFont="1" applyBorder="1" applyAlignment="1">
      <alignment horizontal="center" vertical="center"/>
    </xf>
    <xf numFmtId="0" fontId="94" fillId="0" borderId="50" xfId="0" applyFont="1" applyBorder="1" applyAlignment="1">
      <alignment horizontal="center" vertical="center"/>
    </xf>
    <xf numFmtId="0" fontId="95" fillId="0" borderId="38" xfId="0" applyFont="1" applyBorder="1" applyAlignment="1">
      <alignment horizontal="center" vertical="center"/>
    </xf>
    <xf numFmtId="0" fontId="96" fillId="0" borderId="38" xfId="0" applyFont="1" applyBorder="1" applyAlignment="1">
      <alignment horizontal="center" vertical="center"/>
    </xf>
    <xf numFmtId="0" fontId="97" fillId="0" borderId="39" xfId="0" applyFont="1" applyBorder="1" applyAlignment="1">
      <alignment horizontal="center" vertical="center"/>
    </xf>
    <xf numFmtId="0" fontId="98" fillId="24" borderId="40" xfId="0" applyFont="1" applyFill="1" applyBorder="1" applyAlignment="1">
      <alignment horizontal="center" vertical="center"/>
    </xf>
    <xf numFmtId="0" fontId="0" fillId="0" borderId="17" xfId="0" applyFont="1" applyBorder="1">
      <alignment vertical="center"/>
    </xf>
    <xf numFmtId="0" fontId="94" fillId="0" borderId="0" xfId="0" applyFont="1" applyAlignment="1">
      <alignment horizontal="center" vertical="center"/>
    </xf>
    <xf numFmtId="0" fontId="98" fillId="24" borderId="32" xfId="0" applyFont="1" applyFill="1" applyBorder="1" applyAlignment="1">
      <alignment horizontal="center" vertical="center"/>
    </xf>
    <xf numFmtId="0" fontId="101" fillId="0" borderId="51" xfId="0" applyFont="1" applyBorder="1" applyAlignment="1">
      <alignment horizontal="center" vertical="center"/>
    </xf>
    <xf numFmtId="0" fontId="98" fillId="24" borderId="27" xfId="0" applyFont="1" applyFill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30" xfId="0" applyFont="1" applyBorder="1" applyAlignment="1">
      <alignment horizontal="center" vertical="center"/>
    </xf>
    <xf numFmtId="0" fontId="73" fillId="0" borderId="53" xfId="0" applyFont="1" applyBorder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94" fillId="0" borderId="15" xfId="0" applyFont="1" applyBorder="1" applyAlignment="1">
      <alignment horizontal="center" vertical="center" wrapText="1"/>
    </xf>
    <xf numFmtId="0" fontId="99" fillId="0" borderId="12" xfId="0" applyFont="1" applyBorder="1" applyAlignment="1">
      <alignment horizontal="center" vertical="center"/>
    </xf>
    <xf numFmtId="0" fontId="101" fillId="0" borderId="30" xfId="0" applyFont="1" applyBorder="1" applyAlignment="1">
      <alignment horizontal="center" vertical="center"/>
    </xf>
    <xf numFmtId="0" fontId="94" fillId="0" borderId="15" xfId="0" applyFont="1" applyBorder="1" applyAlignment="1">
      <alignment horizontal="center" vertical="center"/>
    </xf>
    <xf numFmtId="0" fontId="101" fillId="0" borderId="1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95" fillId="0" borderId="30" xfId="0" applyFont="1" applyBorder="1" applyAlignment="1">
      <alignment horizontal="center" vertical="center"/>
    </xf>
    <xf numFmtId="0" fontId="95" fillId="28" borderId="30" xfId="0" applyFont="1" applyFill="1" applyBorder="1" applyAlignment="1">
      <alignment horizontal="center" vertical="center"/>
    </xf>
    <xf numFmtId="0" fontId="99" fillId="0" borderId="32" xfId="0" applyFont="1" applyBorder="1" applyAlignment="1">
      <alignment horizontal="center" vertical="center"/>
    </xf>
    <xf numFmtId="0" fontId="95" fillId="28" borderId="21" xfId="0" applyFont="1" applyFill="1" applyBorder="1" applyAlignment="1">
      <alignment horizontal="center" vertical="center"/>
    </xf>
    <xf numFmtId="0" fontId="99" fillId="0" borderId="27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89" fillId="0" borderId="0" xfId="0" applyFont="1" applyAlignment="1">
      <alignment horizontal="center" vertical="center"/>
    </xf>
    <xf numFmtId="0" fontId="83" fillId="0" borderId="43" xfId="0" applyFont="1" applyBorder="1">
      <alignment vertical="center"/>
    </xf>
    <xf numFmtId="0" fontId="83" fillId="0" borderId="44" xfId="0" applyFont="1" applyBorder="1">
      <alignment vertical="center"/>
    </xf>
    <xf numFmtId="0" fontId="103" fillId="0" borderId="0" xfId="52" applyFont="1" applyAlignment="1">
      <alignment horizontal="left"/>
    </xf>
    <xf numFmtId="0" fontId="20" fillId="0" borderId="0" xfId="52" applyFont="1" applyAlignment="1">
      <alignment horizontal="right"/>
    </xf>
    <xf numFmtId="0" fontId="20" fillId="0" borderId="0" xfId="52" applyFont="1"/>
    <xf numFmtId="0" fontId="0" fillId="0" borderId="0" xfId="48" applyFont="1" applyAlignment="1">
      <alignment horizontal="right"/>
    </xf>
    <xf numFmtId="0" fontId="40" fillId="0" borderId="27" xfId="48" applyFont="1" applyBorder="1" applyAlignment="1">
      <alignment horizontal="center" vertical="top" wrapText="1"/>
    </xf>
    <xf numFmtId="0" fontId="106" fillId="0" borderId="0" xfId="52" applyFont="1" applyAlignment="1">
      <alignment horizontal="left"/>
    </xf>
    <xf numFmtId="0" fontId="47" fillId="0" borderId="0" xfId="48" applyFont="1"/>
    <xf numFmtId="0" fontId="29" fillId="0" borderId="13" xfId="44" applyFont="1" applyBorder="1" applyAlignment="1">
      <alignment horizontal="center"/>
    </xf>
    <xf numFmtId="0" fontId="107" fillId="0" borderId="17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6" fillId="0" borderId="17" xfId="0" applyFont="1" applyBorder="1" applyAlignment="1">
      <alignment horizontal="center" vertical="center"/>
    </xf>
    <xf numFmtId="0" fontId="46" fillId="0" borderId="54" xfId="48" applyFont="1" applyBorder="1"/>
    <xf numFmtId="0" fontId="108" fillId="0" borderId="0" xfId="48" applyFont="1" applyAlignment="1">
      <alignment horizontal="center"/>
    </xf>
    <xf numFmtId="49" fontId="109" fillId="0" borderId="17" xfId="48" applyNumberFormat="1" applyFont="1" applyBorder="1" applyAlignment="1">
      <alignment horizontal="center"/>
    </xf>
    <xf numFmtId="0" fontId="46" fillId="0" borderId="55" xfId="48" applyFont="1" applyBorder="1"/>
    <xf numFmtId="0" fontId="70" fillId="0" borderId="0" xfId="48" applyFont="1"/>
    <xf numFmtId="0" fontId="46" fillId="0" borderId="30" xfId="0" applyFont="1" applyBorder="1">
      <alignment vertical="center"/>
    </xf>
    <xf numFmtId="0" fontId="46" fillId="0" borderId="15" xfId="0" applyFont="1" applyBorder="1">
      <alignment vertical="center"/>
    </xf>
    <xf numFmtId="0" fontId="70" fillId="0" borderId="0" xfId="48" applyFont="1" applyAlignment="1">
      <alignment horizontal="center"/>
    </xf>
    <xf numFmtId="0" fontId="110" fillId="0" borderId="0" xfId="0" applyFont="1" applyAlignment="1">
      <alignment horizontal="center"/>
    </xf>
    <xf numFmtId="0" fontId="46" fillId="0" borderId="17" xfId="48" applyFont="1" applyBorder="1" applyAlignment="1">
      <alignment horizontal="center"/>
    </xf>
    <xf numFmtId="0" fontId="58" fillId="0" borderId="13" xfId="48" applyFont="1" applyBorder="1" applyAlignment="1">
      <alignment horizontal="center"/>
    </xf>
    <xf numFmtId="0" fontId="46" fillId="0" borderId="11" xfId="0" applyFont="1" applyBorder="1" applyAlignment="1">
      <alignment horizontal="center" vertical="center"/>
    </xf>
    <xf numFmtId="0" fontId="46" fillId="0" borderId="14" xfId="0" applyFont="1" applyBorder="1">
      <alignment vertical="center"/>
    </xf>
    <xf numFmtId="0" fontId="47" fillId="0" borderId="17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46" fillId="0" borderId="17" xfId="0" applyFont="1" applyBorder="1">
      <alignment vertical="center"/>
    </xf>
    <xf numFmtId="0" fontId="111" fillId="0" borderId="0" xfId="0" applyFont="1" applyAlignment="1">
      <alignment horizontal="center" vertical="center"/>
    </xf>
    <xf numFmtId="0" fontId="47" fillId="0" borderId="0" xfId="48" applyFont="1" applyAlignment="1">
      <alignment horizontal="center" vertical="center"/>
    </xf>
    <xf numFmtId="49" fontId="0" fillId="0" borderId="17" xfId="48" applyNumberFormat="1" applyFont="1" applyBorder="1" applyAlignment="1">
      <alignment horizontal="center"/>
    </xf>
    <xf numFmtId="0" fontId="46" fillId="0" borderId="31" xfId="0" applyFont="1" applyBorder="1" applyAlignment="1">
      <alignment horizontal="center"/>
    </xf>
    <xf numFmtId="0" fontId="46" fillId="0" borderId="0" xfId="48" applyFont="1" applyBorder="1"/>
    <xf numFmtId="0" fontId="29" fillId="0" borderId="17" xfId="44" applyFont="1" applyBorder="1" applyAlignment="1">
      <alignment horizontal="center"/>
    </xf>
    <xf numFmtId="0" fontId="107" fillId="0" borderId="32" xfId="0" applyFont="1" applyBorder="1" applyAlignment="1">
      <alignment horizontal="center"/>
    </xf>
    <xf numFmtId="0" fontId="74" fillId="0" borderId="0" xfId="0" applyFont="1" applyAlignment="1">
      <alignment horizontal="center" vertical="center"/>
    </xf>
    <xf numFmtId="0" fontId="47" fillId="0" borderId="11" xfId="0" applyFont="1" applyBorder="1" applyAlignment="1">
      <alignment horizontal="center"/>
    </xf>
    <xf numFmtId="49" fontId="109" fillId="0" borderId="0" xfId="48" applyNumberFormat="1" applyFont="1" applyAlignment="1">
      <alignment horizontal="center"/>
    </xf>
    <xf numFmtId="0" fontId="46" fillId="0" borderId="0" xfId="48" applyFont="1" applyAlignment="1">
      <alignment horizontal="right"/>
    </xf>
    <xf numFmtId="0" fontId="46" fillId="0" borderId="0" xfId="0" applyFont="1" applyAlignment="1">
      <alignment horizontal="right" vertical="center"/>
    </xf>
    <xf numFmtId="0" fontId="46" fillId="0" borderId="32" xfId="0" applyFont="1" applyBorder="1" applyAlignment="1">
      <alignment horizontal="center"/>
    </xf>
    <xf numFmtId="49" fontId="0" fillId="0" borderId="17" xfId="48" applyNumberFormat="1" applyFont="1" applyBorder="1" applyAlignment="1">
      <alignment horizontal="center" vertical="center"/>
    </xf>
    <xf numFmtId="0" fontId="0" fillId="0" borderId="43" xfId="0" applyFont="1" applyBorder="1">
      <alignment vertical="center"/>
    </xf>
    <xf numFmtId="0" fontId="46" fillId="0" borderId="31" xfId="0" applyFont="1" applyBorder="1">
      <alignment vertical="center"/>
    </xf>
    <xf numFmtId="0" fontId="0" fillId="0" borderId="0" xfId="0" applyFont="1" applyAlignment="1"/>
    <xf numFmtId="0" fontId="108" fillId="0" borderId="0" xfId="0" applyFont="1" applyAlignment="1">
      <alignment horizontal="center" vertical="center"/>
    </xf>
    <xf numFmtId="0" fontId="46" fillId="0" borderId="0" xfId="0" applyFont="1" applyAlignment="1"/>
    <xf numFmtId="0" fontId="0" fillId="0" borderId="0" xfId="0" applyFont="1" applyAlignment="1">
      <alignment horizontal="center"/>
    </xf>
    <xf numFmtId="0" fontId="113" fillId="0" borderId="0" xfId="0" applyFont="1">
      <alignment vertical="center"/>
    </xf>
    <xf numFmtId="0" fontId="110" fillId="0" borderId="14" xfId="48" applyFont="1" applyBorder="1" applyAlignment="1">
      <alignment horizontal="center"/>
    </xf>
    <xf numFmtId="0" fontId="40" fillId="0" borderId="56" xfId="0" applyFont="1" applyBorder="1">
      <alignment vertical="center"/>
    </xf>
    <xf numFmtId="0" fontId="46" fillId="0" borderId="17" xfId="48" applyFont="1" applyBorder="1"/>
    <xf numFmtId="164" fontId="107" fillId="0" borderId="0" xfId="48" applyNumberFormat="1" applyFont="1" applyAlignment="1">
      <alignment horizontal="center"/>
    </xf>
    <xf numFmtId="0" fontId="46" fillId="0" borderId="0" xfId="48" applyFont="1" applyAlignment="1">
      <alignment vertical="center"/>
    </xf>
    <xf numFmtId="0" fontId="47" fillId="0" borderId="0" xfId="48" applyFont="1" applyBorder="1" applyAlignment="1">
      <alignment horizontal="center"/>
    </xf>
    <xf numFmtId="0" fontId="29" fillId="0" borderId="0" xfId="44" applyFont="1" applyAlignment="1">
      <alignment horizontal="center"/>
    </xf>
    <xf numFmtId="0" fontId="46" fillId="0" borderId="57" xfId="0" applyFont="1" applyBorder="1">
      <alignment vertical="center"/>
    </xf>
    <xf numFmtId="0" fontId="46" fillId="0" borderId="0" xfId="0" applyFont="1" applyBorder="1">
      <alignment vertical="center"/>
    </xf>
    <xf numFmtId="0" fontId="46" fillId="0" borderId="31" xfId="48" applyFont="1" applyBorder="1" applyAlignment="1">
      <alignment horizontal="center"/>
    </xf>
    <xf numFmtId="0" fontId="113" fillId="0" borderId="31" xfId="48" applyFont="1" applyBorder="1" applyAlignment="1">
      <alignment horizontal="center"/>
    </xf>
    <xf numFmtId="0" fontId="58" fillId="0" borderId="0" xfId="48" applyFont="1" applyAlignment="1">
      <alignment horizontal="left"/>
    </xf>
    <xf numFmtId="0" fontId="111" fillId="0" borderId="0" xfId="0" applyFont="1">
      <alignment vertical="center"/>
    </xf>
    <xf numFmtId="0" fontId="47" fillId="0" borderId="0" xfId="0" applyFont="1">
      <alignment vertical="center"/>
    </xf>
    <xf numFmtId="0" fontId="29" fillId="0" borderId="0" xfId="44" applyFont="1" applyAlignment="1">
      <alignment horizontal="center" vertical="center"/>
    </xf>
    <xf numFmtId="0" fontId="114" fillId="0" borderId="0" xfId="44" applyFont="1"/>
    <xf numFmtId="0" fontId="20" fillId="0" borderId="0" xfId="49" applyAlignment="1">
      <alignment horizontal="center"/>
    </xf>
    <xf numFmtId="0" fontId="20" fillId="0" borderId="0" xfId="49" applyAlignment="1">
      <alignment horizontal="left"/>
    </xf>
    <xf numFmtId="0" fontId="20" fillId="0" borderId="0" xfId="49"/>
    <xf numFmtId="0" fontId="79" fillId="0" borderId="0" xfId="49" applyFont="1"/>
    <xf numFmtId="0" fontId="21" fillId="0" borderId="12" xfId="49" applyFont="1" applyBorder="1" applyAlignment="1">
      <alignment horizontal="center"/>
    </xf>
    <xf numFmtId="0" fontId="0" fillId="0" borderId="16" xfId="44" applyFont="1" applyBorder="1" applyAlignment="1">
      <alignment horizontal="center"/>
    </xf>
    <xf numFmtId="0" fontId="40" fillId="6" borderId="12" xfId="49" applyFont="1" applyFill="1" applyBorder="1" applyAlignment="1">
      <alignment horizontal="center"/>
    </xf>
    <xf numFmtId="0" fontId="40" fillId="0" borderId="27" xfId="49" applyFont="1" applyBorder="1" applyAlignment="1">
      <alignment horizontal="center"/>
    </xf>
    <xf numFmtId="0" fontId="20" fillId="0" borderId="12" xfId="49" applyBorder="1"/>
    <xf numFmtId="0" fontId="40" fillId="6" borderId="12" xfId="51" applyFont="1" applyFill="1" applyBorder="1" applyAlignment="1">
      <alignment horizontal="center"/>
    </xf>
    <xf numFmtId="0" fontId="40" fillId="0" borderId="15" xfId="49" applyFont="1" applyBorder="1" applyAlignment="1">
      <alignment horizontal="center"/>
    </xf>
    <xf numFmtId="0" fontId="20" fillId="0" borderId="16" xfId="49" applyBorder="1" applyAlignment="1">
      <alignment horizontal="center"/>
    </xf>
    <xf numFmtId="0" fontId="40" fillId="0" borderId="13" xfId="47" applyFont="1" applyBorder="1" applyAlignment="1">
      <alignment horizontal="center"/>
    </xf>
    <xf numFmtId="0" fontId="40" fillId="4" borderId="15" xfId="46" applyFont="1" applyFill="1" applyBorder="1" applyAlignment="1">
      <alignment horizontal="center"/>
    </xf>
    <xf numFmtId="0" fontId="40" fillId="6" borderId="15" xfId="46" applyFont="1" applyFill="1" applyBorder="1" applyAlignment="1">
      <alignment horizontal="center"/>
    </xf>
    <xf numFmtId="0" fontId="95" fillId="0" borderId="15" xfId="46" applyFont="1" applyBorder="1" applyAlignment="1">
      <alignment horizontal="center"/>
    </xf>
    <xf numFmtId="0" fontId="95" fillId="0" borderId="0" xfId="46" applyFont="1" applyAlignment="1">
      <alignment horizontal="center"/>
    </xf>
    <xf numFmtId="0" fontId="95" fillId="0" borderId="17" xfId="46" applyFont="1" applyBorder="1" applyAlignment="1">
      <alignment horizontal="center"/>
    </xf>
    <xf numFmtId="0" fontId="40" fillId="0" borderId="58" xfId="44" applyFont="1" applyBorder="1" applyAlignment="1">
      <alignment horizontal="center"/>
    </xf>
    <xf numFmtId="0" fontId="40" fillId="0" borderId="0" xfId="44" applyFont="1"/>
    <xf numFmtId="0" fontId="40" fillId="0" borderId="12" xfId="47" applyFont="1" applyBorder="1" applyAlignment="1">
      <alignment horizontal="center"/>
    </xf>
    <xf numFmtId="0" fontId="95" fillId="0" borderId="0" xfId="46" applyFont="1" applyBorder="1" applyAlignment="1">
      <alignment horizontal="center"/>
    </xf>
    <xf numFmtId="0" fontId="40" fillId="4" borderId="30" xfId="46" applyFont="1" applyFill="1" applyBorder="1" applyAlignment="1">
      <alignment horizontal="center"/>
    </xf>
    <xf numFmtId="0" fontId="40" fillId="6" borderId="30" xfId="46" applyFont="1" applyFill="1" applyBorder="1" applyAlignment="1">
      <alignment horizontal="center"/>
    </xf>
    <xf numFmtId="0" fontId="95" fillId="0" borderId="32" xfId="46" applyFont="1" applyBorder="1" applyAlignment="1">
      <alignment horizontal="center"/>
    </xf>
    <xf numFmtId="0" fontId="95" fillId="0" borderId="10" xfId="46" applyFont="1" applyBorder="1" applyAlignment="1">
      <alignment horizontal="center"/>
    </xf>
    <xf numFmtId="0" fontId="40" fillId="6" borderId="13" xfId="46" applyFont="1" applyFill="1" applyBorder="1" applyAlignment="1">
      <alignment horizontal="center"/>
    </xf>
    <xf numFmtId="0" fontId="95" fillId="0" borderId="43" xfId="46" applyFont="1" applyBorder="1" applyAlignment="1">
      <alignment horizontal="center"/>
    </xf>
    <xf numFmtId="0" fontId="40" fillId="4" borderId="16" xfId="46" applyFont="1" applyFill="1" applyBorder="1" applyAlignment="1">
      <alignment horizontal="center"/>
    </xf>
    <xf numFmtId="0" fontId="40" fillId="6" borderId="16" xfId="46" applyFont="1" applyFill="1" applyBorder="1" applyAlignment="1">
      <alignment horizontal="center"/>
    </xf>
    <xf numFmtId="0" fontId="40" fillId="4" borderId="13" xfId="46" applyFont="1" applyFill="1" applyBorder="1" applyAlignment="1">
      <alignment horizontal="center"/>
    </xf>
    <xf numFmtId="0" fontId="95" fillId="0" borderId="11" xfId="46" applyFont="1" applyBorder="1" applyAlignment="1">
      <alignment horizontal="center"/>
    </xf>
    <xf numFmtId="0" fontId="21" fillId="0" borderId="12" xfId="44" applyFont="1" applyBorder="1" applyAlignment="1">
      <alignment horizontal="left"/>
    </xf>
    <xf numFmtId="0" fontId="21" fillId="0" borderId="0" xfId="44" applyFont="1" applyAlignment="1">
      <alignment horizontal="left"/>
    </xf>
    <xf numFmtId="0" fontId="0" fillId="27" borderId="12" xfId="44" applyFont="1" applyFill="1" applyBorder="1" applyAlignment="1">
      <alignment horizontal="left"/>
    </xf>
    <xf numFmtId="0" fontId="0" fillId="0" borderId="14" xfId="44" applyFont="1" applyBorder="1" applyAlignment="1">
      <alignment horizontal="center"/>
    </xf>
    <xf numFmtId="0" fontId="0" fillId="0" borderId="13" xfId="44" applyFont="1" applyBorder="1" applyAlignment="1">
      <alignment horizontal="center"/>
    </xf>
    <xf numFmtId="0" fontId="40" fillId="4" borderId="59" xfId="46" applyFont="1" applyFill="1" applyBorder="1" applyAlignment="1">
      <alignment horizontal="center"/>
    </xf>
    <xf numFmtId="0" fontId="40" fillId="0" borderId="60" xfId="44" applyFont="1" applyBorder="1" applyAlignment="1">
      <alignment horizontal="center"/>
    </xf>
    <xf numFmtId="0" fontId="40" fillId="0" borderId="61" xfId="44" applyFont="1" applyBorder="1" applyAlignment="1">
      <alignment horizontal="center"/>
    </xf>
    <xf numFmtId="0" fontId="40" fillId="0" borderId="62" xfId="44" applyFont="1" applyBorder="1" applyAlignment="1">
      <alignment horizontal="center"/>
    </xf>
    <xf numFmtId="0" fontId="0" fillId="0" borderId="13" xfId="44" applyFont="1" applyBorder="1"/>
    <xf numFmtId="0" fontId="95" fillId="0" borderId="31" xfId="46" applyFont="1" applyBorder="1" applyAlignment="1">
      <alignment horizontal="center"/>
    </xf>
    <xf numFmtId="0" fontId="40" fillId="0" borderId="63" xfId="44" applyFont="1" applyBorder="1" applyAlignment="1">
      <alignment horizontal="center"/>
    </xf>
    <xf numFmtId="0" fontId="95" fillId="0" borderId="14" xfId="46" applyFont="1" applyBorder="1" applyAlignment="1">
      <alignment horizontal="center"/>
    </xf>
    <xf numFmtId="0" fontId="95" fillId="0" borderId="64" xfId="46" applyFont="1" applyBorder="1" applyAlignment="1">
      <alignment horizontal="center"/>
    </xf>
    <xf numFmtId="0" fontId="40" fillId="0" borderId="65" xfId="44" applyFont="1" applyBorder="1" applyAlignment="1">
      <alignment horizontal="center"/>
    </xf>
    <xf numFmtId="0" fontId="40" fillId="0" borderId="66" xfId="44" applyFont="1" applyBorder="1" applyAlignment="1">
      <alignment horizontal="center"/>
    </xf>
    <xf numFmtId="0" fontId="95" fillId="0" borderId="67" xfId="46" applyFont="1" applyBorder="1" applyAlignment="1">
      <alignment horizontal="center"/>
    </xf>
    <xf numFmtId="0" fontId="40" fillId="0" borderId="68" xfId="44" applyFont="1" applyBorder="1" applyAlignment="1">
      <alignment horizontal="center"/>
    </xf>
    <xf numFmtId="0" fontId="40" fillId="0" borderId="69" xfId="44" applyFont="1" applyBorder="1" applyAlignment="1">
      <alignment horizontal="center"/>
    </xf>
    <xf numFmtId="0" fontId="0" fillId="0" borderId="0" xfId="45" applyFont="1" applyAlignment="1">
      <alignment vertical="center"/>
    </xf>
    <xf numFmtId="0" fontId="0" fillId="0" borderId="0" xfId="45" applyFont="1" applyAlignment="1">
      <alignment horizontal="center" vertical="center"/>
    </xf>
    <xf numFmtId="0" fontId="109" fillId="0" borderId="0" xfId="45" applyFont="1" applyAlignment="1">
      <alignment horizontal="left" vertical="center"/>
    </xf>
    <xf numFmtId="0" fontId="29" fillId="0" borderId="0" xfId="45" applyFont="1" applyAlignment="1">
      <alignment horizontal="center" vertical="center"/>
    </xf>
    <xf numFmtId="0" fontId="109" fillId="0" borderId="0" xfId="45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116" fillId="0" borderId="0" xfId="45" applyFont="1" applyAlignment="1">
      <alignment horizontal="center" vertical="center"/>
    </xf>
    <xf numFmtId="0" fontId="29" fillId="24" borderId="0" xfId="45" applyFont="1" applyFill="1" applyAlignment="1">
      <alignment horizontal="center" vertical="center"/>
    </xf>
    <xf numFmtId="0" fontId="0" fillId="24" borderId="0" xfId="45" applyFont="1" applyFill="1" applyAlignment="1">
      <alignment vertical="center"/>
    </xf>
    <xf numFmtId="0" fontId="109" fillId="24" borderId="0" xfId="45" applyFont="1" applyFill="1" applyAlignment="1">
      <alignment horizontal="center" vertical="center"/>
    </xf>
    <xf numFmtId="0" fontId="53" fillId="24" borderId="0" xfId="50" applyFont="1" applyFill="1" applyAlignment="1">
      <alignment horizontal="center" vertical="center"/>
    </xf>
    <xf numFmtId="0" fontId="0" fillId="24" borderId="0" xfId="45" applyFont="1" applyFill="1" applyAlignment="1">
      <alignment horizontal="center" vertical="center"/>
    </xf>
    <xf numFmtId="0" fontId="117" fillId="24" borderId="0" xfId="50" applyFont="1" applyFill="1" applyAlignment="1">
      <alignment horizontal="center" vertical="center"/>
    </xf>
    <xf numFmtId="0" fontId="118" fillId="29" borderId="0" xfId="45" applyFont="1" applyFill="1" applyAlignment="1">
      <alignment horizontal="left" vertical="center"/>
    </xf>
    <xf numFmtId="0" fontId="0" fillId="29" borderId="0" xfId="45" applyFont="1" applyFill="1" applyAlignment="1">
      <alignment vertical="center"/>
    </xf>
    <xf numFmtId="0" fontId="118" fillId="30" borderId="0" xfId="45" applyFont="1" applyFill="1" applyAlignment="1">
      <alignment horizontal="left" vertical="center"/>
    </xf>
    <xf numFmtId="0" fontId="0" fillId="30" borderId="0" xfId="45" applyFont="1" applyFill="1" applyAlignment="1">
      <alignment vertical="center"/>
    </xf>
    <xf numFmtId="0" fontId="116" fillId="0" borderId="10" xfId="45" applyFont="1" applyBorder="1" applyAlignment="1">
      <alignment horizontal="center" vertical="center"/>
    </xf>
    <xf numFmtId="0" fontId="120" fillId="0" borderId="70" xfId="45" applyFont="1" applyBorder="1" applyAlignment="1">
      <alignment horizontal="center" vertical="center"/>
    </xf>
    <xf numFmtId="0" fontId="47" fillId="0" borderId="71" xfId="50" applyFont="1" applyBorder="1" applyAlignment="1">
      <alignment horizontal="center" vertical="center"/>
    </xf>
    <xf numFmtId="0" fontId="47" fillId="0" borderId="72" xfId="50" applyFont="1" applyBorder="1" applyAlignment="1">
      <alignment horizontal="center" vertical="center"/>
    </xf>
    <xf numFmtId="0" fontId="0" fillId="0" borderId="73" xfId="45" applyFont="1" applyBorder="1" applyAlignment="1">
      <alignment horizontal="center" vertical="center"/>
    </xf>
    <xf numFmtId="0" fontId="40" fillId="31" borderId="13" xfId="45" applyFont="1" applyFill="1" applyBorder="1" applyAlignment="1">
      <alignment horizontal="center" vertical="center"/>
    </xf>
    <xf numFmtId="0" fontId="121" fillId="0" borderId="74" xfId="45" applyFont="1" applyBorder="1" applyAlignment="1">
      <alignment horizontal="center" vertical="center"/>
    </xf>
    <xf numFmtId="0" fontId="47" fillId="0" borderId="0" xfId="50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75" xfId="45" applyFont="1" applyBorder="1" applyAlignment="1">
      <alignment horizontal="center" vertical="center"/>
    </xf>
    <xf numFmtId="0" fontId="105" fillId="31" borderId="30" xfId="50" applyFont="1" applyFill="1" applyBorder="1" applyAlignment="1">
      <alignment horizontal="center" vertical="center"/>
    </xf>
    <xf numFmtId="0" fontId="40" fillId="31" borderId="12" xfId="45" applyFont="1" applyFill="1" applyBorder="1" applyAlignment="1">
      <alignment horizontal="center" vertical="center"/>
    </xf>
    <xf numFmtId="0" fontId="0" fillId="31" borderId="30" xfId="45" applyFont="1" applyFill="1" applyBorder="1" applyAlignment="1">
      <alignment horizontal="center" vertical="center"/>
    </xf>
    <xf numFmtId="164" fontId="0" fillId="0" borderId="0" xfId="45" applyNumberFormat="1" applyFont="1" applyAlignment="1">
      <alignment horizontal="center" vertical="center"/>
    </xf>
    <xf numFmtId="0" fontId="105" fillId="0" borderId="0" xfId="50" applyFont="1" applyAlignment="1">
      <alignment horizontal="center" vertical="center"/>
    </xf>
    <xf numFmtId="164" fontId="40" fillId="31" borderId="13" xfId="45" applyNumberFormat="1" applyFont="1" applyFill="1" applyBorder="1" applyAlignment="1">
      <alignment horizontal="center" vertical="center"/>
    </xf>
    <xf numFmtId="0" fontId="40" fillId="30" borderId="12" xfId="0" applyFont="1" applyFill="1" applyBorder="1" applyAlignment="1">
      <alignment horizontal="center" vertical="center"/>
    </xf>
    <xf numFmtId="0" fontId="40" fillId="30" borderId="0" xfId="45" applyFont="1" applyFill="1" applyAlignment="1">
      <alignment horizontal="center" vertical="center"/>
    </xf>
    <xf numFmtId="0" fontId="0" fillId="31" borderId="12" xfId="45" applyFont="1" applyFill="1" applyBorder="1" applyAlignment="1">
      <alignment vertical="center"/>
    </xf>
    <xf numFmtId="0" fontId="0" fillId="31" borderId="12" xfId="0" applyFont="1" applyFill="1" applyBorder="1" applyAlignment="1">
      <alignment horizontal="center" vertical="center"/>
    </xf>
    <xf numFmtId="0" fontId="0" fillId="0" borderId="76" xfId="45" applyFont="1" applyBorder="1" applyAlignment="1">
      <alignment horizontal="center" vertical="center"/>
    </xf>
    <xf numFmtId="0" fontId="47" fillId="0" borderId="77" xfId="50" applyFont="1" applyBorder="1" applyAlignment="1">
      <alignment horizontal="center" vertical="center"/>
    </xf>
    <xf numFmtId="0" fontId="47" fillId="0" borderId="78" xfId="50" applyFont="1" applyBorder="1" applyAlignment="1">
      <alignment horizontal="center" vertical="center"/>
    </xf>
    <xf numFmtId="0" fontId="105" fillId="0" borderId="78" xfId="50" applyFont="1" applyBorder="1" applyAlignment="1">
      <alignment horizontal="center" vertical="center"/>
    </xf>
    <xf numFmtId="0" fontId="0" fillId="0" borderId="79" xfId="45" applyFont="1" applyBorder="1" applyAlignment="1">
      <alignment horizontal="center" vertical="center"/>
    </xf>
    <xf numFmtId="0" fontId="0" fillId="31" borderId="24" xfId="0" applyFont="1" applyFill="1" applyBorder="1" applyAlignment="1">
      <alignment horizontal="center" vertical="center"/>
    </xf>
    <xf numFmtId="0" fontId="40" fillId="30" borderId="24" xfId="0" applyFont="1" applyFill="1" applyBorder="1" applyAlignment="1">
      <alignment horizontal="center" vertical="center"/>
    </xf>
    <xf numFmtId="0" fontId="40" fillId="30" borderId="13" xfId="45" applyFont="1" applyFill="1" applyBorder="1" applyAlignment="1">
      <alignment horizontal="center" vertical="center"/>
    </xf>
    <xf numFmtId="0" fontId="29" fillId="0" borderId="0" xfId="45" applyFont="1" applyAlignment="1">
      <alignment horizontal="left" vertical="center"/>
    </xf>
    <xf numFmtId="164" fontId="40" fillId="31" borderId="12" xfId="45" applyNumberFormat="1" applyFont="1" applyFill="1" applyBorder="1" applyAlignment="1">
      <alignment horizontal="center" vertical="center"/>
    </xf>
    <xf numFmtId="0" fontId="40" fillId="30" borderId="12" xfId="45" applyFont="1" applyFill="1" applyBorder="1" applyAlignment="1">
      <alignment horizontal="center" vertical="center"/>
    </xf>
    <xf numFmtId="0" fontId="40" fillId="31" borderId="27" xfId="45" applyFont="1" applyFill="1" applyBorder="1" applyAlignment="1">
      <alignment horizontal="center" vertical="center"/>
    </xf>
    <xf numFmtId="0" fontId="40" fillId="29" borderId="12" xfId="0" applyFont="1" applyFill="1" applyBorder="1" applyAlignment="1">
      <alignment horizontal="center" vertical="center"/>
    </xf>
    <xf numFmtId="0" fontId="0" fillId="31" borderId="24" xfId="45" applyFont="1" applyFill="1" applyBorder="1" applyAlignment="1">
      <alignment horizontal="center" vertical="center"/>
    </xf>
    <xf numFmtId="164" fontId="0" fillId="0" borderId="0" xfId="45" applyNumberFormat="1" applyFont="1" applyBorder="1" applyAlignment="1">
      <alignment horizontal="center" vertical="center"/>
    </xf>
    <xf numFmtId="0" fontId="0" fillId="0" borderId="0" xfId="45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0" fillId="30" borderId="0" xfId="0" applyFont="1" applyFill="1" applyAlignment="1">
      <alignment horizontal="center" vertical="center"/>
    </xf>
    <xf numFmtId="0" fontId="0" fillId="31" borderId="30" xfId="0" applyFont="1" applyFill="1" applyBorder="1" applyAlignment="1">
      <alignment horizontal="center" vertical="center"/>
    </xf>
    <xf numFmtId="0" fontId="0" fillId="0" borderId="0" xfId="45" applyFont="1" applyAlignment="1">
      <alignment horizontal="left" vertical="center"/>
    </xf>
    <xf numFmtId="0" fontId="0" fillId="31" borderId="0" xfId="45" applyFont="1" applyFill="1" applyAlignment="1">
      <alignment horizontal="center" vertical="center"/>
    </xf>
    <xf numFmtId="0" fontId="40" fillId="31" borderId="11" xfId="45" applyFont="1" applyFill="1" applyBorder="1" applyAlignment="1">
      <alignment horizontal="center" vertical="center"/>
    </xf>
    <xf numFmtId="0" fontId="0" fillId="31" borderId="31" xfId="45" applyFont="1" applyFill="1" applyBorder="1" applyAlignment="1">
      <alignment horizontal="center" vertical="center"/>
    </xf>
    <xf numFmtId="0" fontId="40" fillId="30" borderId="27" xfId="0" applyFont="1" applyFill="1" applyBorder="1" applyAlignment="1">
      <alignment horizontal="center" vertical="center"/>
    </xf>
    <xf numFmtId="0" fontId="0" fillId="31" borderId="24" xfId="45" applyFont="1" applyFill="1" applyBorder="1" applyAlignment="1">
      <alignment vertical="center"/>
    </xf>
    <xf numFmtId="0" fontId="40" fillId="30" borderId="30" xfId="0" applyFont="1" applyFill="1" applyBorder="1" applyAlignment="1">
      <alignment horizontal="center" vertical="center"/>
    </xf>
    <xf numFmtId="0" fontId="0" fillId="31" borderId="14" xfId="0" applyFont="1" applyFill="1" applyBorder="1" applyAlignment="1">
      <alignment horizontal="center" vertical="center"/>
    </xf>
    <xf numFmtId="0" fontId="118" fillId="0" borderId="0" xfId="45" applyFont="1" applyAlignment="1">
      <alignment horizontal="left" vertical="center"/>
    </xf>
    <xf numFmtId="0" fontId="116" fillId="0" borderId="0" xfId="45" applyFont="1" applyBorder="1" applyAlignment="1">
      <alignment horizontal="center" vertical="center"/>
    </xf>
    <xf numFmtId="0" fontId="40" fillId="0" borderId="13" xfId="45" applyFont="1" applyBorder="1" applyAlignment="1">
      <alignment horizontal="center" vertical="center"/>
    </xf>
    <xf numFmtId="0" fontId="40" fillId="0" borderId="12" xfId="45" applyFont="1" applyBorder="1" applyAlignment="1">
      <alignment horizontal="center" vertical="center"/>
    </xf>
    <xf numFmtId="0" fontId="106" fillId="0" borderId="12" xfId="50" applyFont="1" applyBorder="1" applyAlignment="1">
      <alignment horizontal="center" vertical="center"/>
    </xf>
    <xf numFmtId="164" fontId="40" fillId="0" borderId="12" xfId="45" applyNumberFormat="1" applyFont="1" applyBorder="1" applyAlignment="1">
      <alignment horizontal="center" vertical="center"/>
    </xf>
    <xf numFmtId="0" fontId="0" fillId="0" borderId="12" xfId="45" applyFont="1" applyBorder="1" applyAlignment="1">
      <alignment vertical="center"/>
    </xf>
    <xf numFmtId="0" fontId="40" fillId="29" borderId="12" xfId="45" applyFont="1" applyFill="1" applyBorder="1" applyAlignment="1">
      <alignment horizontal="center" vertical="center"/>
    </xf>
  </cellXfs>
  <cellStyles count="53">
    <cellStyle name="?" xfId="19" xr:uid="{00000000-0005-0000-0000-000018000000}"/>
    <cellStyle name="? 1" xfId="20" xr:uid="{00000000-0005-0000-0000-000019000000}"/>
    <cellStyle name="??" xfId="21" xr:uid="{00000000-0005-0000-0000-00001A000000}"/>
    <cellStyle name="?? 1" xfId="22" xr:uid="{00000000-0005-0000-0000-00001B000000}"/>
    <cellStyle name="?? 1 1" xfId="23" xr:uid="{00000000-0005-0000-0000-00001C000000}"/>
    <cellStyle name="?? 2" xfId="24" xr:uid="{00000000-0005-0000-0000-00001D000000}"/>
    <cellStyle name="?? 2 1" xfId="25" xr:uid="{00000000-0005-0000-0000-00001E000000}"/>
    <cellStyle name="?? 3" xfId="26" xr:uid="{00000000-0005-0000-0000-00001F000000}"/>
    <cellStyle name="?? 3 1" xfId="27" xr:uid="{00000000-0005-0000-0000-000020000000}"/>
    <cellStyle name="?? 4" xfId="28" xr:uid="{00000000-0005-0000-0000-000021000000}"/>
    <cellStyle name="?? 5" xfId="29" xr:uid="{00000000-0005-0000-0000-000022000000}"/>
    <cellStyle name="?? 6" xfId="30" xr:uid="{00000000-0005-0000-0000-000023000000}"/>
    <cellStyle name="?? 7" xfId="31" xr:uid="{00000000-0005-0000-0000-000024000000}"/>
    <cellStyle name="?? 8" xfId="32" xr:uid="{00000000-0005-0000-0000-000025000000}"/>
    <cellStyle name="????" xfId="39" xr:uid="{00000000-0005-0000-0000-00002C000000}"/>
    <cellStyle name="???? 1" xfId="40" xr:uid="{00000000-0005-0000-0000-00002D000000}"/>
    <cellStyle name="???? 2" xfId="41" xr:uid="{00000000-0005-0000-0000-00002E000000}"/>
    <cellStyle name="?????" xfId="42" xr:uid="{00000000-0005-0000-0000-00002F000000}"/>
    <cellStyle name="??????" xfId="43" xr:uid="{00000000-0005-0000-0000-000030000000}"/>
    <cellStyle name="??_LCSDCup_Information" xfId="44" xr:uid="{00000000-0005-0000-0000-000031000000}"/>
    <cellStyle name="??_LCSDCup_Information 2" xfId="45" xr:uid="{00000000-0005-0000-0000-000032000000}"/>
    <cellStyle name="??_LCSDCup_Information_2005LCSD INFORMATION" xfId="46" xr:uid="{00000000-0005-0000-0000-000033000000}"/>
    <cellStyle name="??_LCSDCup_Information_2005LCSD INFORMATION_INFORMATION OF GC2_2013" xfId="47" xr:uid="{00000000-0005-0000-0000-000034000000}"/>
    <cellStyle name="??_MEN_32_To8" xfId="48" xr:uid="{00000000-0005-0000-0000-000035000000}"/>
    <cellStyle name="??1" xfId="33" xr:uid="{00000000-0005-0000-0000-000026000000}"/>
    <cellStyle name="??2" xfId="34" xr:uid="{00000000-0005-0000-0000-000027000000}"/>
    <cellStyle name="??3" xfId="35" xr:uid="{00000000-0005-0000-0000-000028000000}"/>
    <cellStyle name="??4" xfId="36" xr:uid="{00000000-0005-0000-0000-000029000000}"/>
    <cellStyle name="??5" xfId="37" xr:uid="{00000000-0005-0000-0000-00002A000000}"/>
    <cellStyle name="??6" xfId="38" xr:uid="{00000000-0005-0000-0000-00002B000000}"/>
    <cellStyle name="20% - ??1" xfId="1" xr:uid="{00000000-0005-0000-0000-000006000000}"/>
    <cellStyle name="20% - ??2" xfId="2" xr:uid="{00000000-0005-0000-0000-000007000000}"/>
    <cellStyle name="20% - ??3" xfId="3" xr:uid="{00000000-0005-0000-0000-000008000000}"/>
    <cellStyle name="20% - ??4" xfId="4" xr:uid="{00000000-0005-0000-0000-000009000000}"/>
    <cellStyle name="20% - ??5" xfId="5" xr:uid="{00000000-0005-0000-0000-00000A000000}"/>
    <cellStyle name="20% - ??6" xfId="6" xr:uid="{00000000-0005-0000-0000-00000B000000}"/>
    <cellStyle name="40% - ??1" xfId="7" xr:uid="{00000000-0005-0000-0000-00000C000000}"/>
    <cellStyle name="40% - ??2" xfId="8" xr:uid="{00000000-0005-0000-0000-00000D000000}"/>
    <cellStyle name="40% - ??3" xfId="9" xr:uid="{00000000-0005-0000-0000-00000E000000}"/>
    <cellStyle name="40% - ??4" xfId="10" xr:uid="{00000000-0005-0000-0000-00000F000000}"/>
    <cellStyle name="40% - ??5" xfId="11" xr:uid="{00000000-0005-0000-0000-000010000000}"/>
    <cellStyle name="40% - ??6" xfId="12" xr:uid="{00000000-0005-0000-0000-000011000000}"/>
    <cellStyle name="60% - ??1" xfId="13" xr:uid="{00000000-0005-0000-0000-000012000000}"/>
    <cellStyle name="60% - ??2" xfId="14" xr:uid="{00000000-0005-0000-0000-000013000000}"/>
    <cellStyle name="60% - ??3" xfId="15" xr:uid="{00000000-0005-0000-0000-000014000000}"/>
    <cellStyle name="60% - ??4" xfId="16" xr:uid="{00000000-0005-0000-0000-000015000000}"/>
    <cellStyle name="60% - ??5" xfId="17" xr:uid="{00000000-0005-0000-0000-000016000000}"/>
    <cellStyle name="60% - ??6" xfId="18" xr:uid="{00000000-0005-0000-0000-000017000000}"/>
    <cellStyle name="一般" xfId="0" builtinId="0"/>
    <cellStyle name="一般_LCSDCup_Information" xfId="49" xr:uid="{00000000-0005-0000-0000-000036000000}"/>
    <cellStyle name="一般_LCSDCup_Information 2" xfId="50" xr:uid="{00000000-0005-0000-0000-000037000000}"/>
    <cellStyle name="一般_LCSDCup_Information_2005LCSD INFORMATION" xfId="51" xr:uid="{00000000-0005-0000-0000-000038000000}"/>
    <cellStyle name="一般_MEN_32_To8" xfId="52" xr:uid="{00000000-0005-0000-0000-00003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FE699"/>
      <rgbColor rgb="FF800000"/>
      <rgbColor rgb="FF008000"/>
      <rgbColor rgb="FF000080"/>
      <rgbColor rgb="FF92D050"/>
      <rgbColor rgb="FF800080"/>
      <rgbColor rgb="FF0084D1"/>
      <rgbColor rgb="FFC0C0C0"/>
      <rgbColor rgb="FF808080"/>
      <rgbColor rgb="FFBFBFB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BDD7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D9D9D9"/>
      <rgbColor rgb="FF969696"/>
      <rgbColor rgb="FF003366"/>
      <rgbColor rgb="FF339966"/>
      <rgbColor rgb="FF003300"/>
      <rgbColor rgb="FF333300"/>
      <rgbColor rgb="FF993300"/>
      <rgbColor rgb="FFFFC0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4\TKT_mirror\share(2)\&#27801;&#28760;&#25490;&#29699;(&#26412;&#22320;)\&#29699;&#21729;&#31309;&#20998;&#25490;&#21517;\pts_of_players_updated_hk_open_2019_by_ronson_201905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8"/>
  <sheetViews>
    <sheetView zoomScale="75" zoomScaleNormal="75" workbookViewId="0"/>
  </sheetViews>
  <sheetFormatPr defaultRowHeight="17.25"/>
  <cols>
    <col min="1" max="1" width="9.21875" style="14" customWidth="1"/>
    <col min="2" max="2" width="93.109375" customWidth="1"/>
    <col min="3" max="1025" width="7.44140625" customWidth="1"/>
  </cols>
  <sheetData>
    <row r="1" spans="1:2" s="17" customFormat="1" ht="33" customHeight="1">
      <c r="A1" s="15" t="s">
        <v>0</v>
      </c>
      <c r="B1" s="16" t="s">
        <v>1</v>
      </c>
    </row>
    <row r="2" spans="1:2" s="17" customFormat="1" ht="27" customHeight="1">
      <c r="A2" s="16"/>
      <c r="B2" s="16" t="s">
        <v>2</v>
      </c>
    </row>
    <row r="3" spans="1:2" s="17" customFormat="1" ht="15.75">
      <c r="A3" s="15"/>
    </row>
    <row r="4" spans="1:2" s="17" customFormat="1" ht="17.25" customHeight="1">
      <c r="A4" s="18" t="s">
        <v>3</v>
      </c>
      <c r="B4" s="19" t="s">
        <v>4</v>
      </c>
    </row>
    <row r="5" spans="1:2" s="17" customFormat="1" ht="17.25" customHeight="1">
      <c r="A5" s="18"/>
      <c r="B5" s="19" t="s">
        <v>5</v>
      </c>
    </row>
    <row r="6" spans="1:2" s="17" customFormat="1" ht="17.25" customHeight="1">
      <c r="A6" s="18" t="s">
        <v>6</v>
      </c>
      <c r="B6" s="19" t="s">
        <v>7</v>
      </c>
    </row>
    <row r="7" spans="1:2" s="17" customFormat="1" ht="17.25" customHeight="1">
      <c r="A7" s="18" t="s">
        <v>8</v>
      </c>
      <c r="B7" s="20" t="s">
        <v>9</v>
      </c>
    </row>
    <row r="8" spans="1:2" s="17" customFormat="1" ht="17.25" customHeight="1">
      <c r="A8" s="21"/>
      <c r="B8" s="19" t="s">
        <v>10</v>
      </c>
    </row>
    <row r="9" spans="1:2" s="17" customFormat="1" ht="17.25" customHeight="1">
      <c r="A9" s="21"/>
      <c r="B9" s="19" t="s">
        <v>11</v>
      </c>
    </row>
    <row r="10" spans="1:2" s="17" customFormat="1" ht="17.25" customHeight="1">
      <c r="A10" s="21"/>
      <c r="B10" s="22" t="s">
        <v>12</v>
      </c>
    </row>
    <row r="11" spans="1:2" s="17" customFormat="1" ht="17.25" customHeight="1">
      <c r="A11" s="21"/>
      <c r="B11" s="22" t="s">
        <v>13</v>
      </c>
    </row>
    <row r="12" spans="1:2" s="17" customFormat="1" ht="17.25" customHeight="1">
      <c r="A12" s="21"/>
      <c r="B12" s="22" t="s">
        <v>14</v>
      </c>
    </row>
    <row r="13" spans="1:2" s="17" customFormat="1" ht="17.25" customHeight="1">
      <c r="A13" s="21"/>
      <c r="B13" s="22" t="s">
        <v>15</v>
      </c>
    </row>
    <row r="14" spans="1:2" s="22" customFormat="1" ht="17.25" customHeight="1">
      <c r="A14" s="21"/>
      <c r="B14" s="22" t="s">
        <v>16</v>
      </c>
    </row>
    <row r="15" spans="1:2" s="17" customFormat="1" ht="15.75">
      <c r="A15" s="21"/>
      <c r="B15" s="23" t="s">
        <v>17</v>
      </c>
    </row>
    <row r="16" spans="1:2" s="17" customFormat="1" ht="17.25" customHeight="1">
      <c r="A16" s="21"/>
      <c r="B16" s="23"/>
    </row>
    <row r="17" spans="1:2" s="17" customFormat="1" ht="15.75">
      <c r="A17" s="18"/>
      <c r="B17" s="23" t="s">
        <v>18</v>
      </c>
    </row>
    <row r="18" spans="1:2" s="17" customFormat="1" ht="15.75" hidden="1">
      <c r="A18" s="15"/>
    </row>
    <row r="19" spans="1:2" s="17" customFormat="1" ht="27" hidden="1">
      <c r="A19" s="15"/>
      <c r="B19" s="24" t="s">
        <v>19</v>
      </c>
    </row>
    <row r="20" spans="1:2" s="17" customFormat="1" ht="15.75" hidden="1">
      <c r="A20" s="15" t="s">
        <v>20</v>
      </c>
      <c r="B20" s="17" t="s">
        <v>21</v>
      </c>
    </row>
    <row r="21" spans="1:2" s="17" customFormat="1" ht="15.75" hidden="1">
      <c r="A21" s="15"/>
      <c r="B21" s="17" t="s">
        <v>22</v>
      </c>
    </row>
    <row r="22" spans="1:2" s="17" customFormat="1" ht="15.75" hidden="1">
      <c r="A22" s="15" t="s">
        <v>23</v>
      </c>
      <c r="B22" s="17" t="s">
        <v>24</v>
      </c>
    </row>
    <row r="23" spans="1:2" s="17" customFormat="1" ht="15.75" hidden="1">
      <c r="A23" s="15" t="s">
        <v>25</v>
      </c>
      <c r="B23" s="17" t="s">
        <v>26</v>
      </c>
    </row>
    <row r="24" spans="1:2" s="17" customFormat="1" ht="15.75" hidden="1">
      <c r="A24" s="15"/>
      <c r="B24" s="17" t="s">
        <v>27</v>
      </c>
    </row>
    <row r="25" spans="1:2" s="17" customFormat="1" ht="15.75" hidden="1">
      <c r="A25" s="15"/>
      <c r="B25" s="17" t="s">
        <v>28</v>
      </c>
    </row>
    <row r="26" spans="1:2" s="17" customFormat="1" ht="15.75" hidden="1">
      <c r="A26" s="15"/>
      <c r="B26" s="25" t="s">
        <v>29</v>
      </c>
    </row>
    <row r="27" spans="1:2" s="17" customFormat="1" ht="15.75" hidden="1">
      <c r="A27" s="15"/>
      <c r="B27" s="17" t="s">
        <v>30</v>
      </c>
    </row>
    <row r="28" spans="1:2" s="17" customFormat="1" ht="15.75" hidden="1">
      <c r="A28" s="15"/>
      <c r="B28" s="17" t="s">
        <v>31</v>
      </c>
    </row>
    <row r="29" spans="1:2" s="17" customFormat="1" ht="15.75" hidden="1">
      <c r="A29" s="15"/>
      <c r="B29" s="17" t="s">
        <v>32</v>
      </c>
    </row>
    <row r="30" spans="1:2" s="17" customFormat="1" ht="15.75" hidden="1">
      <c r="A30" s="15"/>
      <c r="B30" s="17" t="s">
        <v>33</v>
      </c>
    </row>
    <row r="31" spans="1:2" s="17" customFormat="1" ht="15.75" hidden="1">
      <c r="A31" s="15"/>
      <c r="B31" s="26" t="s">
        <v>34</v>
      </c>
    </row>
    <row r="32" spans="1:2" s="17" customFormat="1" ht="15.75" hidden="1">
      <c r="A32" s="15"/>
      <c r="B32" s="17" t="s">
        <v>35</v>
      </c>
    </row>
    <row r="33" spans="1:2" s="17" customFormat="1" ht="15.75" hidden="1">
      <c r="A33" s="15"/>
      <c r="B33" s="17" t="s">
        <v>36</v>
      </c>
    </row>
    <row r="34" spans="1:2" s="17" customFormat="1" ht="15.75" hidden="1">
      <c r="A34" s="15"/>
      <c r="B34" s="17" t="s">
        <v>37</v>
      </c>
    </row>
    <row r="35" spans="1:2" s="17" customFormat="1" ht="15.75" hidden="1">
      <c r="A35" s="15"/>
      <c r="B35" s="27" t="s">
        <v>38</v>
      </c>
    </row>
    <row r="36" spans="1:2" s="17" customFormat="1" ht="15.75" hidden="1">
      <c r="A36" s="15"/>
      <c r="B36" s="25" t="s">
        <v>39</v>
      </c>
    </row>
    <row r="37" spans="1:2" s="17" customFormat="1" ht="15.75">
      <c r="A37" s="15"/>
      <c r="B37" s="17" t="s">
        <v>40</v>
      </c>
    </row>
    <row r="38" spans="1:2" s="17" customFormat="1" ht="27">
      <c r="A38" s="15"/>
      <c r="B38" s="24" t="s">
        <v>19</v>
      </c>
    </row>
    <row r="39" spans="1:2" s="17" customFormat="1" ht="15.75">
      <c r="A39" s="15"/>
      <c r="B39" s="17" t="s">
        <v>21</v>
      </c>
    </row>
    <row r="40" spans="1:2" s="17" customFormat="1" ht="15.75">
      <c r="A40" s="15"/>
      <c r="B40" s="17" t="s">
        <v>22</v>
      </c>
    </row>
    <row r="41" spans="1:2" s="17" customFormat="1" ht="15.75">
      <c r="A41" s="15"/>
      <c r="B41" s="17" t="s">
        <v>24</v>
      </c>
    </row>
    <row r="42" spans="1:2" s="17" customFormat="1" ht="15.75">
      <c r="A42" s="15"/>
      <c r="B42" s="17" t="s">
        <v>26</v>
      </c>
    </row>
    <row r="43" spans="1:2" s="17" customFormat="1" ht="15.75">
      <c r="A43" s="15"/>
      <c r="B43" s="17" t="s">
        <v>27</v>
      </c>
    </row>
    <row r="44" spans="1:2" s="17" customFormat="1" ht="15.75">
      <c r="A44" s="15"/>
      <c r="B44" s="17" t="s">
        <v>28</v>
      </c>
    </row>
    <row r="45" spans="1:2" s="17" customFormat="1" ht="15.75">
      <c r="A45" s="15"/>
      <c r="B45" s="17" t="s">
        <v>41</v>
      </c>
    </row>
    <row r="46" spans="1:2" s="17" customFormat="1" ht="15.75">
      <c r="A46" s="15"/>
      <c r="B46" s="17" t="s">
        <v>30</v>
      </c>
    </row>
    <row r="47" spans="1:2" s="17" customFormat="1" ht="15.75">
      <c r="A47" s="15"/>
      <c r="B47" s="17" t="s">
        <v>42</v>
      </c>
    </row>
    <row r="48" spans="1:2" s="17" customFormat="1" ht="15.75">
      <c r="A48" s="15"/>
      <c r="B48" s="17" t="s">
        <v>43</v>
      </c>
    </row>
    <row r="49" spans="1:2" s="17" customFormat="1" ht="15.75">
      <c r="A49" s="15"/>
      <c r="B49" s="17" t="s">
        <v>32</v>
      </c>
    </row>
    <row r="50" spans="1:2" s="17" customFormat="1" ht="15.75">
      <c r="A50" s="15"/>
      <c r="B50" s="17" t="s">
        <v>44</v>
      </c>
    </row>
    <row r="51" spans="1:2" s="17" customFormat="1" ht="15.75">
      <c r="A51" s="15"/>
      <c r="B51" s="17" t="s">
        <v>34</v>
      </c>
    </row>
    <row r="52" spans="1:2" s="17" customFormat="1" ht="15.75">
      <c r="A52" s="15"/>
      <c r="B52" s="17" t="s">
        <v>35</v>
      </c>
    </row>
    <row r="53" spans="1:2" s="17" customFormat="1" ht="15.75">
      <c r="A53" s="15"/>
      <c r="B53" s="17" t="s">
        <v>36</v>
      </c>
    </row>
    <row r="54" spans="1:2" s="17" customFormat="1" ht="15.75">
      <c r="A54" s="15"/>
      <c r="B54" s="17" t="s">
        <v>37</v>
      </c>
    </row>
    <row r="55" spans="1:2" s="17" customFormat="1" ht="15.75">
      <c r="A55" s="15"/>
      <c r="B55" s="17" t="s">
        <v>38</v>
      </c>
    </row>
    <row r="56" spans="1:2" s="17" customFormat="1" ht="15.75">
      <c r="A56" s="15"/>
      <c r="B56" s="17" t="s">
        <v>39</v>
      </c>
    </row>
    <row r="57" spans="1:2" s="17" customFormat="1" ht="15.75">
      <c r="A57" s="15"/>
      <c r="B57" s="17" t="s">
        <v>40</v>
      </c>
    </row>
    <row r="58" spans="1:2" s="17" customFormat="1" ht="15.75">
      <c r="A58" s="15"/>
    </row>
  </sheetData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95"/>
  <sheetViews>
    <sheetView topLeftCell="E1" zoomScale="75" zoomScaleNormal="75" workbookViewId="0">
      <selection activeCell="Q1" sqref="P1:Q1048576"/>
    </sheetView>
  </sheetViews>
  <sheetFormatPr defaultRowHeight="22.5"/>
  <cols>
    <col min="1" max="1" width="3.5546875" style="28" customWidth="1"/>
    <col min="2" max="2" width="9" style="28" customWidth="1"/>
    <col min="3" max="3" width="9" style="29" customWidth="1"/>
    <col min="4" max="4" width="9" style="28" customWidth="1"/>
    <col min="5" max="5" width="18.33203125" style="29" customWidth="1"/>
    <col min="6" max="6" width="18.33203125" style="28" customWidth="1"/>
    <col min="7" max="7" width="12" style="28" customWidth="1"/>
    <col min="8" max="8" width="7.33203125" style="28" customWidth="1"/>
    <col min="9" max="9" width="17.5546875" style="28" customWidth="1"/>
    <col min="10" max="10" width="11.109375" style="28" customWidth="1"/>
    <col min="11" max="11" width="7.33203125" style="28" customWidth="1"/>
    <col min="12" max="12" width="7.44140625" style="28" customWidth="1"/>
    <col min="13" max="13" width="12.5546875" style="29" customWidth="1"/>
    <col min="14" max="14" width="34.109375" style="30" customWidth="1"/>
    <col min="15" max="15" width="5.77734375" style="28" customWidth="1"/>
    <col min="16" max="17" width="17.44140625" style="28" hidden="1" customWidth="1"/>
    <col min="18" max="1025" width="7.6640625" style="28" customWidth="1"/>
  </cols>
  <sheetData>
    <row r="1" spans="1:17" ht="21" customHeight="1">
      <c r="B1" s="31" t="s">
        <v>45</v>
      </c>
      <c r="C1" s="32"/>
      <c r="D1" s="32"/>
      <c r="E1" s="33"/>
      <c r="F1" s="32"/>
      <c r="G1" s="32"/>
      <c r="H1" s="32"/>
      <c r="I1" s="32"/>
      <c r="J1" s="32"/>
      <c r="K1" s="32"/>
      <c r="L1" s="32"/>
      <c r="M1" s="34"/>
    </row>
    <row r="2" spans="1:17" ht="21" customHeight="1">
      <c r="B2" s="35" t="s">
        <v>46</v>
      </c>
      <c r="C2" s="34"/>
      <c r="D2" s="34"/>
      <c r="E2" s="32"/>
      <c r="F2" s="32"/>
      <c r="G2" s="32"/>
      <c r="H2" s="32"/>
      <c r="I2" s="32"/>
      <c r="J2" s="32"/>
      <c r="K2" s="33"/>
      <c r="L2" s="33"/>
      <c r="M2" s="34"/>
    </row>
    <row r="3" spans="1:17" ht="21" customHeight="1">
      <c r="B3" s="36" t="s">
        <v>47</v>
      </c>
      <c r="C3" s="37"/>
      <c r="D3" s="37"/>
      <c r="E3" s="33"/>
      <c r="F3" s="33"/>
      <c r="G3" s="33"/>
      <c r="H3" s="33"/>
      <c r="I3" s="33"/>
      <c r="J3" s="33"/>
      <c r="K3" s="33"/>
      <c r="L3" s="33"/>
      <c r="M3" s="38"/>
      <c r="N3" s="39"/>
      <c r="O3" s="40"/>
    </row>
    <row r="4" spans="1:17" ht="21" customHeight="1">
      <c r="B4" s="41" t="s">
        <v>48</v>
      </c>
      <c r="C4" s="42" t="s">
        <v>49</v>
      </c>
      <c r="D4" s="43" t="s">
        <v>50</v>
      </c>
      <c r="E4" s="44" t="s">
        <v>51</v>
      </c>
      <c r="F4" s="45"/>
      <c r="G4" s="46"/>
      <c r="H4" s="47" t="s">
        <v>52</v>
      </c>
      <c r="I4" s="45"/>
      <c r="J4" s="46"/>
      <c r="K4" s="47" t="s">
        <v>52</v>
      </c>
      <c r="L4" s="48" t="s">
        <v>53</v>
      </c>
      <c r="M4" s="44" t="s">
        <v>54</v>
      </c>
      <c r="N4" s="49"/>
      <c r="O4" s="50"/>
    </row>
    <row r="5" spans="1:17" ht="21" customHeight="1">
      <c r="B5" s="51" t="s">
        <v>55</v>
      </c>
      <c r="C5" s="52" t="s">
        <v>56</v>
      </c>
      <c r="D5" s="53" t="s">
        <v>57</v>
      </c>
      <c r="E5" s="54" t="s">
        <v>58</v>
      </c>
      <c r="F5" s="55" t="s">
        <v>59</v>
      </c>
      <c r="G5" s="55" t="s">
        <v>60</v>
      </c>
      <c r="H5" s="56" t="s">
        <v>61</v>
      </c>
      <c r="I5" s="55" t="s">
        <v>62</v>
      </c>
      <c r="J5" s="55" t="s">
        <v>60</v>
      </c>
      <c r="K5" s="56" t="s">
        <v>61</v>
      </c>
      <c r="L5" s="57" t="s">
        <v>61</v>
      </c>
      <c r="M5" s="54" t="s">
        <v>56</v>
      </c>
      <c r="N5" s="58"/>
      <c r="O5" s="59" t="s">
        <v>63</v>
      </c>
      <c r="P5" s="60" t="s">
        <v>64</v>
      </c>
      <c r="Q5" s="61" t="s">
        <v>65</v>
      </c>
    </row>
    <row r="6" spans="1:17" ht="20.100000000000001" customHeight="1">
      <c r="A6" s="62"/>
      <c r="B6" s="63">
        <v>1</v>
      </c>
      <c r="C6" s="64" t="str">
        <f t="shared" ref="C6:C37" si="0">M6</f>
        <v>A1</v>
      </c>
      <c r="D6" s="65">
        <v>1</v>
      </c>
      <c r="E6" s="66" t="s">
        <v>66</v>
      </c>
      <c r="F6" s="67" t="s">
        <v>67</v>
      </c>
      <c r="G6" s="66" t="s">
        <v>68</v>
      </c>
      <c r="H6" s="68">
        <v>93</v>
      </c>
      <c r="I6" s="69" t="s">
        <v>69</v>
      </c>
      <c r="J6" s="65" t="s">
        <v>70</v>
      </c>
      <c r="K6" s="68">
        <v>40.5</v>
      </c>
      <c r="L6" s="70">
        <f t="shared" ref="L6:L37" si="1">H6+K6</f>
        <v>133.5</v>
      </c>
      <c r="M6" s="71" t="s">
        <v>71</v>
      </c>
      <c r="N6" s="72"/>
      <c r="O6" s="73"/>
      <c r="P6" s="60"/>
      <c r="Q6" s="60">
        <f t="shared" ref="Q6:Q37" si="2">P6/2</f>
        <v>0</v>
      </c>
    </row>
    <row r="7" spans="1:17" ht="20.100000000000001" customHeight="1">
      <c r="A7" s="62"/>
      <c r="B7" s="74">
        <v>2</v>
      </c>
      <c r="C7" s="75" t="str">
        <f t="shared" si="0"/>
        <v>B1</v>
      </c>
      <c r="D7" s="76">
        <v>2</v>
      </c>
      <c r="E7" s="77" t="s">
        <v>72</v>
      </c>
      <c r="F7" s="78" t="s">
        <v>73</v>
      </c>
      <c r="G7" s="79" t="s">
        <v>74</v>
      </c>
      <c r="H7" s="80">
        <v>70</v>
      </c>
      <c r="I7" s="78" t="s">
        <v>75</v>
      </c>
      <c r="J7" s="76" t="s">
        <v>76</v>
      </c>
      <c r="K7" s="80">
        <v>57</v>
      </c>
      <c r="L7" s="81">
        <f t="shared" si="1"/>
        <v>127</v>
      </c>
      <c r="M7" s="82" t="s">
        <v>77</v>
      </c>
      <c r="N7" s="72"/>
      <c r="O7" s="73"/>
      <c r="P7" s="60">
        <v>72</v>
      </c>
      <c r="Q7" s="60">
        <f t="shared" si="2"/>
        <v>36</v>
      </c>
    </row>
    <row r="8" spans="1:17" ht="20.100000000000001" customHeight="1">
      <c r="A8" s="62"/>
      <c r="B8" s="74">
        <v>3</v>
      </c>
      <c r="C8" s="75" t="str">
        <f t="shared" si="0"/>
        <v>C1</v>
      </c>
      <c r="D8" s="76">
        <v>3</v>
      </c>
      <c r="E8" s="83" t="s">
        <v>78</v>
      </c>
      <c r="F8" s="78" t="s">
        <v>79</v>
      </c>
      <c r="G8" s="79" t="s">
        <v>80</v>
      </c>
      <c r="H8" s="80">
        <v>61.75</v>
      </c>
      <c r="I8" s="78" t="s">
        <v>81</v>
      </c>
      <c r="J8" s="76" t="s">
        <v>82</v>
      </c>
      <c r="K8" s="80">
        <v>55</v>
      </c>
      <c r="L8" s="81">
        <f t="shared" si="1"/>
        <v>116.75</v>
      </c>
      <c r="M8" s="82" t="s">
        <v>83</v>
      </c>
      <c r="N8" s="72"/>
      <c r="O8" s="73"/>
      <c r="P8" s="60"/>
      <c r="Q8" s="60">
        <f t="shared" si="2"/>
        <v>0</v>
      </c>
    </row>
    <row r="9" spans="1:17" ht="20.100000000000001" customHeight="1">
      <c r="A9" s="62"/>
      <c r="B9" s="74">
        <v>4</v>
      </c>
      <c r="C9" s="75" t="str">
        <f t="shared" si="0"/>
        <v>D1</v>
      </c>
      <c r="D9" s="76">
        <v>4</v>
      </c>
      <c r="E9" s="83" t="s">
        <v>84</v>
      </c>
      <c r="F9" s="84" t="s">
        <v>85</v>
      </c>
      <c r="G9" s="79" t="s">
        <v>86</v>
      </c>
      <c r="H9" s="80">
        <v>75</v>
      </c>
      <c r="I9" s="78" t="s">
        <v>87</v>
      </c>
      <c r="J9" s="76" t="s">
        <v>88</v>
      </c>
      <c r="K9" s="80">
        <v>40.5</v>
      </c>
      <c r="L9" s="81">
        <f t="shared" si="1"/>
        <v>115.5</v>
      </c>
      <c r="M9" s="82" t="s">
        <v>89</v>
      </c>
      <c r="N9" s="72"/>
      <c r="O9" s="73"/>
      <c r="P9" s="60">
        <v>72</v>
      </c>
      <c r="Q9" s="60">
        <f t="shared" si="2"/>
        <v>36</v>
      </c>
    </row>
    <row r="10" spans="1:17" ht="20.100000000000001" customHeight="1">
      <c r="A10" s="62"/>
      <c r="B10" s="74">
        <v>5</v>
      </c>
      <c r="C10" s="75" t="str">
        <f t="shared" si="0"/>
        <v>E1</v>
      </c>
      <c r="D10" s="76">
        <v>5</v>
      </c>
      <c r="E10" s="83" t="s">
        <v>90</v>
      </c>
      <c r="F10" s="78" t="s">
        <v>91</v>
      </c>
      <c r="G10" s="79" t="s">
        <v>92</v>
      </c>
      <c r="H10" s="80">
        <v>55.5</v>
      </c>
      <c r="I10" s="78" t="s">
        <v>93</v>
      </c>
      <c r="J10" s="76" t="s">
        <v>94</v>
      </c>
      <c r="K10" s="80">
        <v>55.5</v>
      </c>
      <c r="L10" s="81">
        <f t="shared" si="1"/>
        <v>111</v>
      </c>
      <c r="M10" s="82" t="s">
        <v>95</v>
      </c>
      <c r="N10" s="72"/>
      <c r="O10" s="73"/>
      <c r="P10" s="60">
        <v>54</v>
      </c>
      <c r="Q10" s="60">
        <f t="shared" si="2"/>
        <v>27</v>
      </c>
    </row>
    <row r="11" spans="1:17" ht="20.100000000000001" customHeight="1">
      <c r="A11" s="62"/>
      <c r="B11" s="74">
        <v>6</v>
      </c>
      <c r="C11" s="75" t="str">
        <f t="shared" si="0"/>
        <v>F1</v>
      </c>
      <c r="D11" s="76">
        <v>6</v>
      </c>
      <c r="E11" s="83" t="s">
        <v>96</v>
      </c>
      <c r="F11" s="78" t="s">
        <v>97</v>
      </c>
      <c r="G11" s="79" t="s">
        <v>98</v>
      </c>
      <c r="H11" s="80">
        <v>93</v>
      </c>
      <c r="I11" s="78" t="s">
        <v>99</v>
      </c>
      <c r="J11" s="76" t="s">
        <v>100</v>
      </c>
      <c r="K11" s="80">
        <v>0</v>
      </c>
      <c r="L11" s="81">
        <f t="shared" si="1"/>
        <v>93</v>
      </c>
      <c r="M11" s="82" t="s">
        <v>101</v>
      </c>
      <c r="N11" s="72"/>
      <c r="O11" s="73"/>
      <c r="P11" s="60"/>
      <c r="Q11" s="60">
        <f t="shared" si="2"/>
        <v>0</v>
      </c>
    </row>
    <row r="12" spans="1:17" ht="20.100000000000001" customHeight="1">
      <c r="A12" s="62"/>
      <c r="B12" s="74">
        <v>7</v>
      </c>
      <c r="C12" s="75" t="str">
        <f t="shared" si="0"/>
        <v>G1</v>
      </c>
      <c r="D12" s="76">
        <v>7</v>
      </c>
      <c r="E12" s="85" t="s">
        <v>102</v>
      </c>
      <c r="F12" s="78" t="s">
        <v>103</v>
      </c>
      <c r="G12" s="79" t="s">
        <v>104</v>
      </c>
      <c r="H12" s="80">
        <v>16.5</v>
      </c>
      <c r="I12" s="78" t="s">
        <v>105</v>
      </c>
      <c r="J12" s="76" t="s">
        <v>106</v>
      </c>
      <c r="K12" s="80">
        <v>75</v>
      </c>
      <c r="L12" s="81">
        <f t="shared" si="1"/>
        <v>91.5</v>
      </c>
      <c r="M12" s="82" t="s">
        <v>107</v>
      </c>
      <c r="N12" s="72"/>
      <c r="O12" s="73"/>
      <c r="P12" s="60">
        <v>72</v>
      </c>
      <c r="Q12" s="60">
        <f t="shared" si="2"/>
        <v>36</v>
      </c>
    </row>
    <row r="13" spans="1:17" ht="20.100000000000001" customHeight="1">
      <c r="A13" s="62"/>
      <c r="B13" s="74">
        <v>8</v>
      </c>
      <c r="C13" s="75" t="str">
        <f t="shared" si="0"/>
        <v>H1</v>
      </c>
      <c r="D13" s="76">
        <v>8</v>
      </c>
      <c r="E13" s="85" t="s">
        <v>108</v>
      </c>
      <c r="F13" s="78" t="s">
        <v>109</v>
      </c>
      <c r="G13" s="79" t="s">
        <v>110</v>
      </c>
      <c r="H13" s="80">
        <v>25.5</v>
      </c>
      <c r="I13" s="78" t="s">
        <v>111</v>
      </c>
      <c r="J13" s="76" t="s">
        <v>112</v>
      </c>
      <c r="K13" s="80">
        <v>61.5</v>
      </c>
      <c r="L13" s="81">
        <f t="shared" si="1"/>
        <v>87</v>
      </c>
      <c r="M13" s="82" t="s">
        <v>113</v>
      </c>
      <c r="N13" s="72"/>
      <c r="O13" s="73"/>
      <c r="P13" s="60">
        <v>48</v>
      </c>
      <c r="Q13" s="60">
        <f t="shared" si="2"/>
        <v>24</v>
      </c>
    </row>
    <row r="14" spans="1:17" ht="20.100000000000001" customHeight="1">
      <c r="A14" s="62"/>
      <c r="B14" s="74">
        <v>9</v>
      </c>
      <c r="C14" s="75" t="str">
        <f t="shared" si="0"/>
        <v>H2</v>
      </c>
      <c r="D14" s="76">
        <v>9</v>
      </c>
      <c r="E14" s="86" t="s">
        <v>114</v>
      </c>
      <c r="F14" s="84" t="s">
        <v>115</v>
      </c>
      <c r="G14" s="87" t="s">
        <v>116</v>
      </c>
      <c r="H14" s="80">
        <v>36</v>
      </c>
      <c r="I14" s="78" t="s">
        <v>117</v>
      </c>
      <c r="J14" s="76" t="s">
        <v>118</v>
      </c>
      <c r="K14" s="80">
        <v>36</v>
      </c>
      <c r="L14" s="81">
        <f t="shared" si="1"/>
        <v>72</v>
      </c>
      <c r="M14" s="82" t="s">
        <v>119</v>
      </c>
      <c r="N14" s="72"/>
      <c r="O14" s="73"/>
      <c r="P14" s="60">
        <v>54</v>
      </c>
      <c r="Q14" s="60">
        <f t="shared" si="2"/>
        <v>27</v>
      </c>
    </row>
    <row r="15" spans="1:17" ht="20.100000000000001" customHeight="1">
      <c r="A15" s="62"/>
      <c r="B15" s="74">
        <v>10</v>
      </c>
      <c r="C15" s="75" t="str">
        <f t="shared" si="0"/>
        <v>G2</v>
      </c>
      <c r="D15" s="76">
        <v>10</v>
      </c>
      <c r="E15" s="77" t="s">
        <v>120</v>
      </c>
      <c r="F15" s="78" t="s">
        <v>121</v>
      </c>
      <c r="G15" s="79" t="s">
        <v>122</v>
      </c>
      <c r="H15" s="80">
        <v>15.75</v>
      </c>
      <c r="I15" s="78" t="s">
        <v>123</v>
      </c>
      <c r="J15" s="76" t="s">
        <v>124</v>
      </c>
      <c r="K15" s="80">
        <v>50</v>
      </c>
      <c r="L15" s="81">
        <f t="shared" si="1"/>
        <v>65.75</v>
      </c>
      <c r="M15" s="88" t="s">
        <v>125</v>
      </c>
      <c r="N15" s="89"/>
      <c r="O15" s="90"/>
      <c r="P15" s="60">
        <v>54</v>
      </c>
      <c r="Q15" s="60">
        <f t="shared" si="2"/>
        <v>27</v>
      </c>
    </row>
    <row r="16" spans="1:17" ht="20.100000000000001" customHeight="1">
      <c r="A16" s="62"/>
      <c r="B16" s="74">
        <v>11</v>
      </c>
      <c r="C16" s="75" t="str">
        <f t="shared" si="0"/>
        <v>F2</v>
      </c>
      <c r="D16" s="76">
        <v>11</v>
      </c>
      <c r="E16" s="85" t="s">
        <v>126</v>
      </c>
      <c r="F16" s="78" t="s">
        <v>127</v>
      </c>
      <c r="G16" s="79" t="s">
        <v>128</v>
      </c>
      <c r="H16" s="80">
        <v>23.25</v>
      </c>
      <c r="I16" s="78" t="s">
        <v>129</v>
      </c>
      <c r="J16" s="76" t="s">
        <v>130</v>
      </c>
      <c r="K16" s="80">
        <v>42</v>
      </c>
      <c r="L16" s="81">
        <f t="shared" si="1"/>
        <v>65.25</v>
      </c>
      <c r="M16" s="82" t="s">
        <v>131</v>
      </c>
      <c r="N16" s="72"/>
      <c r="O16" s="73"/>
      <c r="P16" s="60">
        <v>72</v>
      </c>
      <c r="Q16" s="60">
        <f t="shared" si="2"/>
        <v>36</v>
      </c>
    </row>
    <row r="17" spans="1:17" ht="20.100000000000001" customHeight="1">
      <c r="A17" s="62"/>
      <c r="B17" s="74">
        <v>12</v>
      </c>
      <c r="C17" s="75" t="str">
        <f t="shared" si="0"/>
        <v>E2</v>
      </c>
      <c r="D17" s="76">
        <v>12</v>
      </c>
      <c r="E17" s="85" t="s">
        <v>132</v>
      </c>
      <c r="F17" s="78" t="s">
        <v>133</v>
      </c>
      <c r="G17" s="79" t="s">
        <v>134</v>
      </c>
      <c r="H17" s="80">
        <v>54</v>
      </c>
      <c r="I17" s="78" t="s">
        <v>135</v>
      </c>
      <c r="J17" s="76" t="s">
        <v>136</v>
      </c>
      <c r="K17" s="80">
        <v>9</v>
      </c>
      <c r="L17" s="81">
        <f t="shared" si="1"/>
        <v>63</v>
      </c>
      <c r="M17" s="82" t="s">
        <v>137</v>
      </c>
      <c r="N17" s="72"/>
      <c r="O17" s="73"/>
      <c r="P17" s="60">
        <v>54</v>
      </c>
      <c r="Q17" s="60">
        <f t="shared" si="2"/>
        <v>27</v>
      </c>
    </row>
    <row r="18" spans="1:17" ht="20.100000000000001" customHeight="1">
      <c r="A18" s="62"/>
      <c r="B18" s="74">
        <v>13</v>
      </c>
      <c r="C18" s="75" t="str">
        <f t="shared" si="0"/>
        <v>D2</v>
      </c>
      <c r="D18" s="76">
        <v>13</v>
      </c>
      <c r="E18" s="85" t="s">
        <v>138</v>
      </c>
      <c r="F18" s="78" t="s">
        <v>139</v>
      </c>
      <c r="G18" s="79" t="s">
        <v>140</v>
      </c>
      <c r="H18" s="80">
        <v>33.75</v>
      </c>
      <c r="I18" s="78" t="s">
        <v>141</v>
      </c>
      <c r="J18" s="76" t="s">
        <v>142</v>
      </c>
      <c r="K18" s="80">
        <v>27</v>
      </c>
      <c r="L18" s="81">
        <f t="shared" si="1"/>
        <v>60.75</v>
      </c>
      <c r="M18" s="82" t="s">
        <v>143</v>
      </c>
      <c r="N18" s="72"/>
      <c r="O18" s="73"/>
      <c r="P18" s="60">
        <v>54</v>
      </c>
      <c r="Q18" s="60">
        <f t="shared" si="2"/>
        <v>27</v>
      </c>
    </row>
    <row r="19" spans="1:17" ht="20.100000000000001" customHeight="1">
      <c r="A19" s="62"/>
      <c r="B19" s="74">
        <v>14</v>
      </c>
      <c r="C19" s="75" t="str">
        <f t="shared" si="0"/>
        <v>C2</v>
      </c>
      <c r="D19" s="76">
        <v>14</v>
      </c>
      <c r="E19" s="77" t="s">
        <v>144</v>
      </c>
      <c r="F19" s="78" t="s">
        <v>145</v>
      </c>
      <c r="G19" s="79" t="s">
        <v>146</v>
      </c>
      <c r="H19" s="80">
        <v>28.5</v>
      </c>
      <c r="I19" s="78" t="s">
        <v>147</v>
      </c>
      <c r="J19" s="76" t="s">
        <v>148</v>
      </c>
      <c r="K19" s="80">
        <v>28.5</v>
      </c>
      <c r="L19" s="81">
        <f t="shared" si="1"/>
        <v>57</v>
      </c>
      <c r="M19" s="82" t="s">
        <v>149</v>
      </c>
      <c r="N19" s="72"/>
      <c r="O19" s="73"/>
      <c r="P19" s="60">
        <v>54</v>
      </c>
      <c r="Q19" s="60">
        <f t="shared" si="2"/>
        <v>27</v>
      </c>
    </row>
    <row r="20" spans="1:17" ht="20.100000000000001" customHeight="1">
      <c r="A20" s="62"/>
      <c r="B20" s="74">
        <v>15</v>
      </c>
      <c r="C20" s="75" t="str">
        <f t="shared" si="0"/>
        <v>B2</v>
      </c>
      <c r="D20" s="76">
        <v>15</v>
      </c>
      <c r="E20" s="83" t="s">
        <v>150</v>
      </c>
      <c r="F20" s="78" t="s">
        <v>151</v>
      </c>
      <c r="G20" s="79" t="s">
        <v>152</v>
      </c>
      <c r="H20" s="80">
        <v>30</v>
      </c>
      <c r="I20" s="78" t="s">
        <v>153</v>
      </c>
      <c r="J20" s="76" t="s">
        <v>154</v>
      </c>
      <c r="K20" s="80">
        <v>24</v>
      </c>
      <c r="L20" s="81">
        <f t="shared" si="1"/>
        <v>54</v>
      </c>
      <c r="M20" s="82" t="s">
        <v>155</v>
      </c>
      <c r="N20" s="72"/>
      <c r="O20" s="73"/>
      <c r="P20" s="60"/>
      <c r="Q20" s="60">
        <f t="shared" si="2"/>
        <v>0</v>
      </c>
    </row>
    <row r="21" spans="1:17" ht="20.100000000000001" customHeight="1">
      <c r="A21" s="62"/>
      <c r="B21" s="74">
        <v>16</v>
      </c>
      <c r="C21" s="83" t="str">
        <f t="shared" si="0"/>
        <v>A2</v>
      </c>
      <c r="D21" s="84">
        <v>16</v>
      </c>
      <c r="E21" s="76" t="s">
        <v>156</v>
      </c>
      <c r="F21" s="78" t="s">
        <v>157</v>
      </c>
      <c r="G21" s="79" t="s">
        <v>158</v>
      </c>
      <c r="H21" s="80">
        <v>22.5</v>
      </c>
      <c r="I21" s="78" t="s">
        <v>159</v>
      </c>
      <c r="J21" s="76" t="s">
        <v>160</v>
      </c>
      <c r="K21" s="80">
        <v>22.5</v>
      </c>
      <c r="L21" s="81">
        <f t="shared" si="1"/>
        <v>45</v>
      </c>
      <c r="M21" s="82" t="s">
        <v>161</v>
      </c>
      <c r="N21" s="72"/>
      <c r="O21" s="73"/>
      <c r="P21" s="60">
        <v>0</v>
      </c>
      <c r="Q21" s="60">
        <f t="shared" si="2"/>
        <v>0</v>
      </c>
    </row>
    <row r="22" spans="1:17" ht="20.100000000000001" customHeight="1">
      <c r="A22" s="62"/>
      <c r="B22" s="74">
        <v>17</v>
      </c>
      <c r="C22" s="83" t="str">
        <f t="shared" si="0"/>
        <v>A3</v>
      </c>
      <c r="D22" s="76">
        <v>17</v>
      </c>
      <c r="E22" s="76" t="s">
        <v>162</v>
      </c>
      <c r="F22" s="78" t="s">
        <v>163</v>
      </c>
      <c r="G22" s="79" t="s">
        <v>164</v>
      </c>
      <c r="H22" s="80">
        <v>18.75</v>
      </c>
      <c r="I22" s="78" t="s">
        <v>165</v>
      </c>
      <c r="J22" s="76" t="s">
        <v>166</v>
      </c>
      <c r="K22" s="80">
        <v>18.75</v>
      </c>
      <c r="L22" s="81">
        <f t="shared" si="1"/>
        <v>37.5</v>
      </c>
      <c r="M22" s="82" t="s">
        <v>167</v>
      </c>
      <c r="N22" s="72"/>
      <c r="O22" s="73"/>
      <c r="P22" s="60">
        <v>48</v>
      </c>
      <c r="Q22" s="60">
        <f t="shared" si="2"/>
        <v>24</v>
      </c>
    </row>
    <row r="23" spans="1:17" ht="20.100000000000001" customHeight="1">
      <c r="A23" s="62"/>
      <c r="B23" s="74">
        <v>18</v>
      </c>
      <c r="C23" s="83" t="str">
        <f t="shared" si="0"/>
        <v>B3</v>
      </c>
      <c r="D23" s="76">
        <v>18</v>
      </c>
      <c r="E23" s="91" t="s">
        <v>168</v>
      </c>
      <c r="F23" s="78" t="s">
        <v>169</v>
      </c>
      <c r="G23" s="79" t="s">
        <v>170</v>
      </c>
      <c r="H23" s="80">
        <v>36</v>
      </c>
      <c r="I23" s="78" t="s">
        <v>171</v>
      </c>
      <c r="J23" s="76" t="s">
        <v>172</v>
      </c>
      <c r="K23" s="80">
        <v>0</v>
      </c>
      <c r="L23" s="81">
        <f t="shared" si="1"/>
        <v>36</v>
      </c>
      <c r="M23" s="82" t="s">
        <v>173</v>
      </c>
      <c r="N23" s="72"/>
      <c r="O23" s="73"/>
      <c r="P23" s="60">
        <v>48</v>
      </c>
      <c r="Q23" s="60">
        <f t="shared" si="2"/>
        <v>24</v>
      </c>
    </row>
    <row r="24" spans="1:17" ht="20.100000000000001" customHeight="1">
      <c r="A24" s="62"/>
      <c r="B24" s="74">
        <v>19</v>
      </c>
      <c r="C24" s="83" t="str">
        <f t="shared" si="0"/>
        <v>C3</v>
      </c>
      <c r="D24" s="76">
        <v>19</v>
      </c>
      <c r="E24" s="76">
        <v>1987.5</v>
      </c>
      <c r="F24" s="78" t="s">
        <v>174</v>
      </c>
      <c r="G24" s="79" t="s">
        <v>175</v>
      </c>
      <c r="H24" s="80">
        <v>11.25</v>
      </c>
      <c r="I24" s="78" t="s">
        <v>176</v>
      </c>
      <c r="J24" s="76" t="s">
        <v>177</v>
      </c>
      <c r="K24" s="80">
        <v>0</v>
      </c>
      <c r="L24" s="81">
        <f t="shared" si="1"/>
        <v>11.25</v>
      </c>
      <c r="M24" s="82" t="s">
        <v>178</v>
      </c>
      <c r="N24" s="72"/>
      <c r="O24" s="73"/>
      <c r="P24" s="60">
        <v>0</v>
      </c>
      <c r="Q24" s="60">
        <f t="shared" si="2"/>
        <v>0</v>
      </c>
    </row>
    <row r="25" spans="1:17" ht="20.100000000000001" customHeight="1">
      <c r="A25" s="62"/>
      <c r="B25" s="74">
        <v>20</v>
      </c>
      <c r="C25" s="83" t="str">
        <f t="shared" si="0"/>
        <v>D3</v>
      </c>
      <c r="D25" s="76">
        <v>20</v>
      </c>
      <c r="E25" s="78" t="s">
        <v>179</v>
      </c>
      <c r="F25" s="78" t="s">
        <v>180</v>
      </c>
      <c r="G25" s="79" t="s">
        <v>181</v>
      </c>
      <c r="H25" s="80">
        <v>9</v>
      </c>
      <c r="I25" s="78" t="s">
        <v>182</v>
      </c>
      <c r="J25" s="76" t="s">
        <v>183</v>
      </c>
      <c r="K25" s="80">
        <v>0</v>
      </c>
      <c r="L25" s="81">
        <f t="shared" si="1"/>
        <v>9</v>
      </c>
      <c r="M25" s="82" t="s">
        <v>184</v>
      </c>
      <c r="N25" s="72"/>
      <c r="O25" s="73"/>
      <c r="P25" s="60">
        <v>48</v>
      </c>
      <c r="Q25" s="60">
        <f t="shared" si="2"/>
        <v>24</v>
      </c>
    </row>
    <row r="26" spans="1:17" ht="20.100000000000001" customHeight="1">
      <c r="A26" s="62"/>
      <c r="B26" s="74">
        <v>21</v>
      </c>
      <c r="C26" s="83" t="str">
        <f t="shared" si="0"/>
        <v>E3</v>
      </c>
      <c r="D26" s="76">
        <v>21</v>
      </c>
      <c r="E26" s="92" t="s">
        <v>185</v>
      </c>
      <c r="F26" s="93" t="s">
        <v>186</v>
      </c>
      <c r="G26" s="94" t="s">
        <v>187</v>
      </c>
      <c r="H26" s="95">
        <v>0</v>
      </c>
      <c r="I26" s="93" t="s">
        <v>188</v>
      </c>
      <c r="J26" s="92" t="s">
        <v>189</v>
      </c>
      <c r="K26" s="95">
        <v>6.75</v>
      </c>
      <c r="L26" s="96">
        <f t="shared" si="1"/>
        <v>6.75</v>
      </c>
      <c r="M26" s="82" t="s">
        <v>190</v>
      </c>
      <c r="N26" s="72"/>
      <c r="O26" s="73"/>
      <c r="P26" s="60">
        <v>48</v>
      </c>
      <c r="Q26" s="60">
        <f t="shared" si="2"/>
        <v>24</v>
      </c>
    </row>
    <row r="27" spans="1:17" ht="20.100000000000001" customHeight="1">
      <c r="A27" s="62"/>
      <c r="B27" s="74">
        <v>22</v>
      </c>
      <c r="C27" s="83" t="str">
        <f t="shared" si="0"/>
        <v>F3</v>
      </c>
      <c r="D27" s="79">
        <v>22</v>
      </c>
      <c r="E27" s="76" t="s">
        <v>191</v>
      </c>
      <c r="F27" s="78" t="s">
        <v>192</v>
      </c>
      <c r="G27" s="76" t="s">
        <v>193</v>
      </c>
      <c r="H27" s="80">
        <v>1.5</v>
      </c>
      <c r="I27" s="78" t="s">
        <v>194</v>
      </c>
      <c r="J27" s="97" t="s">
        <v>195</v>
      </c>
      <c r="K27" s="80">
        <v>0</v>
      </c>
      <c r="L27" s="81">
        <f t="shared" si="1"/>
        <v>1.5</v>
      </c>
      <c r="M27" s="82" t="s">
        <v>196</v>
      </c>
      <c r="N27" s="72"/>
      <c r="O27" s="73"/>
      <c r="P27" s="60">
        <v>36</v>
      </c>
      <c r="Q27" s="60">
        <f t="shared" si="2"/>
        <v>18</v>
      </c>
    </row>
    <row r="28" spans="1:17" ht="20.100000000000001" customHeight="1">
      <c r="A28" s="62"/>
      <c r="B28" s="74">
        <v>23</v>
      </c>
      <c r="C28" s="83" t="str">
        <f t="shared" si="0"/>
        <v>C4</v>
      </c>
      <c r="D28" s="79">
        <v>23</v>
      </c>
      <c r="E28" s="76" t="s">
        <v>197</v>
      </c>
      <c r="F28" s="78" t="s">
        <v>198</v>
      </c>
      <c r="G28" s="97" t="s">
        <v>195</v>
      </c>
      <c r="H28" s="80">
        <v>0</v>
      </c>
      <c r="I28" s="76" t="s">
        <v>199</v>
      </c>
      <c r="J28" s="97" t="s">
        <v>195</v>
      </c>
      <c r="K28" s="80">
        <v>0</v>
      </c>
      <c r="L28" s="81">
        <f t="shared" si="1"/>
        <v>0</v>
      </c>
      <c r="M28" s="98" t="s">
        <v>200</v>
      </c>
      <c r="N28" s="99" t="s">
        <v>201</v>
      </c>
      <c r="O28" s="73"/>
      <c r="P28" s="60">
        <v>0</v>
      </c>
      <c r="Q28" s="60">
        <f t="shared" si="2"/>
        <v>0</v>
      </c>
    </row>
    <row r="29" spans="1:17" ht="20.100000000000001" customHeight="1">
      <c r="A29" s="62"/>
      <c r="B29" s="74">
        <v>24</v>
      </c>
      <c r="C29" s="83" t="str">
        <f t="shared" si="0"/>
        <v>H3</v>
      </c>
      <c r="D29" s="79">
        <v>23</v>
      </c>
      <c r="E29" s="76" t="s">
        <v>202</v>
      </c>
      <c r="F29" s="78" t="s">
        <v>203</v>
      </c>
      <c r="G29" s="97" t="s">
        <v>195</v>
      </c>
      <c r="H29" s="80">
        <v>0</v>
      </c>
      <c r="I29" s="78" t="s">
        <v>204</v>
      </c>
      <c r="J29" s="97" t="s">
        <v>195</v>
      </c>
      <c r="K29" s="80">
        <v>0</v>
      </c>
      <c r="L29" s="81">
        <f t="shared" si="1"/>
        <v>0</v>
      </c>
      <c r="M29" s="100" t="s">
        <v>205</v>
      </c>
      <c r="N29" s="99" t="s">
        <v>201</v>
      </c>
      <c r="O29" s="73"/>
      <c r="P29" s="60">
        <v>54</v>
      </c>
      <c r="Q29" s="60">
        <f t="shared" si="2"/>
        <v>27</v>
      </c>
    </row>
    <row r="30" spans="1:17" ht="20.100000000000001" customHeight="1">
      <c r="A30" s="62"/>
      <c r="B30" s="74">
        <v>25</v>
      </c>
      <c r="C30" s="83" t="str">
        <f t="shared" si="0"/>
        <v>A4</v>
      </c>
      <c r="D30" s="79">
        <v>23</v>
      </c>
      <c r="E30" s="78" t="s">
        <v>206</v>
      </c>
      <c r="F30" s="78" t="s">
        <v>207</v>
      </c>
      <c r="G30" s="97" t="s">
        <v>195</v>
      </c>
      <c r="H30" s="80">
        <v>0</v>
      </c>
      <c r="I30" s="78" t="s">
        <v>208</v>
      </c>
      <c r="J30" s="97" t="s">
        <v>195</v>
      </c>
      <c r="K30" s="80">
        <v>0</v>
      </c>
      <c r="L30" s="81">
        <f t="shared" si="1"/>
        <v>0</v>
      </c>
      <c r="M30" s="98" t="s">
        <v>209</v>
      </c>
      <c r="N30" s="99" t="s">
        <v>201</v>
      </c>
      <c r="O30" s="73"/>
      <c r="P30" s="60">
        <v>54</v>
      </c>
      <c r="Q30" s="60">
        <f t="shared" si="2"/>
        <v>27</v>
      </c>
    </row>
    <row r="31" spans="1:17" ht="20.100000000000001" customHeight="1">
      <c r="A31" s="62"/>
      <c r="B31" s="74">
        <v>26</v>
      </c>
      <c r="C31" s="83" t="str">
        <f t="shared" si="0"/>
        <v>G3</v>
      </c>
      <c r="D31" s="79">
        <v>23</v>
      </c>
      <c r="E31" s="84" t="s">
        <v>210</v>
      </c>
      <c r="F31" s="84" t="s">
        <v>211</v>
      </c>
      <c r="G31" s="97" t="s">
        <v>195</v>
      </c>
      <c r="H31" s="80">
        <v>0</v>
      </c>
      <c r="I31" s="84" t="s">
        <v>212</v>
      </c>
      <c r="J31" s="97" t="s">
        <v>195</v>
      </c>
      <c r="K31" s="80">
        <v>0</v>
      </c>
      <c r="L31" s="81">
        <f t="shared" si="1"/>
        <v>0</v>
      </c>
      <c r="M31" s="101" t="s">
        <v>213</v>
      </c>
      <c r="N31" s="99" t="s">
        <v>201</v>
      </c>
      <c r="O31" s="73"/>
      <c r="P31" s="60">
        <v>36</v>
      </c>
      <c r="Q31" s="60">
        <f t="shared" si="2"/>
        <v>18</v>
      </c>
    </row>
    <row r="32" spans="1:17" ht="20.100000000000001" customHeight="1">
      <c r="A32" s="62"/>
      <c r="B32" s="74">
        <v>27</v>
      </c>
      <c r="C32" s="83" t="str">
        <f t="shared" si="0"/>
        <v>D4</v>
      </c>
      <c r="D32" s="79">
        <v>23</v>
      </c>
      <c r="E32" s="78" t="s">
        <v>214</v>
      </c>
      <c r="F32" s="78" t="s">
        <v>215</v>
      </c>
      <c r="G32" s="97" t="s">
        <v>195</v>
      </c>
      <c r="H32" s="80">
        <v>0</v>
      </c>
      <c r="I32" s="78" t="s">
        <v>216</v>
      </c>
      <c r="J32" s="97" t="s">
        <v>195</v>
      </c>
      <c r="K32" s="80">
        <v>0</v>
      </c>
      <c r="L32" s="81">
        <f t="shared" si="1"/>
        <v>0</v>
      </c>
      <c r="M32" s="98" t="s">
        <v>217</v>
      </c>
      <c r="N32" s="99" t="s">
        <v>201</v>
      </c>
      <c r="O32" s="73"/>
      <c r="P32" s="60">
        <v>36</v>
      </c>
      <c r="Q32" s="60">
        <f t="shared" si="2"/>
        <v>18</v>
      </c>
    </row>
    <row r="33" spans="2:17" ht="20.100000000000001" customHeight="1">
      <c r="B33" s="74">
        <v>28</v>
      </c>
      <c r="C33" s="83" t="str">
        <f t="shared" si="0"/>
        <v>E4</v>
      </c>
      <c r="D33" s="79">
        <v>23</v>
      </c>
      <c r="E33" s="102" t="s">
        <v>218</v>
      </c>
      <c r="F33" s="84" t="s">
        <v>219</v>
      </c>
      <c r="G33" s="103" t="s">
        <v>195</v>
      </c>
      <c r="H33" s="80">
        <v>0</v>
      </c>
      <c r="I33" s="84" t="s">
        <v>220</v>
      </c>
      <c r="J33" s="97" t="s">
        <v>195</v>
      </c>
      <c r="K33" s="80">
        <v>0</v>
      </c>
      <c r="L33" s="81">
        <f t="shared" si="1"/>
        <v>0</v>
      </c>
      <c r="M33" s="101" t="s">
        <v>221</v>
      </c>
      <c r="N33" s="99" t="s">
        <v>201</v>
      </c>
      <c r="O33" s="73"/>
      <c r="P33" s="60">
        <v>36</v>
      </c>
      <c r="Q33" s="60">
        <f t="shared" si="2"/>
        <v>18</v>
      </c>
    </row>
    <row r="34" spans="2:17" ht="20.100000000000001" customHeight="1">
      <c r="B34" s="74">
        <v>29</v>
      </c>
      <c r="C34" s="83" t="str">
        <f t="shared" si="0"/>
        <v>G4</v>
      </c>
      <c r="D34" s="79">
        <v>23</v>
      </c>
      <c r="E34" s="84" t="s">
        <v>222</v>
      </c>
      <c r="F34" s="84" t="s">
        <v>223</v>
      </c>
      <c r="G34" s="103" t="s">
        <v>195</v>
      </c>
      <c r="H34" s="80">
        <v>0</v>
      </c>
      <c r="I34" s="84" t="s">
        <v>224</v>
      </c>
      <c r="J34" s="103" t="s">
        <v>195</v>
      </c>
      <c r="K34" s="80">
        <v>0</v>
      </c>
      <c r="L34" s="81">
        <f t="shared" si="1"/>
        <v>0</v>
      </c>
      <c r="M34" s="101" t="s">
        <v>225</v>
      </c>
      <c r="N34" s="99" t="s">
        <v>201</v>
      </c>
      <c r="O34" s="73"/>
      <c r="P34" s="60">
        <v>48</v>
      </c>
      <c r="Q34" s="60">
        <f t="shared" si="2"/>
        <v>24</v>
      </c>
    </row>
    <row r="35" spans="2:17" ht="20.100000000000001" customHeight="1">
      <c r="B35" s="74">
        <v>30</v>
      </c>
      <c r="C35" s="83" t="str">
        <f t="shared" si="0"/>
        <v>B4</v>
      </c>
      <c r="D35" s="79">
        <v>23</v>
      </c>
      <c r="E35" s="91" t="s">
        <v>226</v>
      </c>
      <c r="F35" s="84" t="s">
        <v>227</v>
      </c>
      <c r="G35" s="103" t="s">
        <v>195</v>
      </c>
      <c r="H35" s="80">
        <v>0</v>
      </c>
      <c r="I35" s="84" t="s">
        <v>228</v>
      </c>
      <c r="J35" s="103" t="s">
        <v>195</v>
      </c>
      <c r="K35" s="80">
        <v>0</v>
      </c>
      <c r="L35" s="81">
        <f t="shared" si="1"/>
        <v>0</v>
      </c>
      <c r="M35" s="98" t="s">
        <v>229</v>
      </c>
      <c r="N35" s="99" t="s">
        <v>201</v>
      </c>
      <c r="O35" s="73"/>
      <c r="P35" s="60">
        <v>0</v>
      </c>
      <c r="Q35" s="60">
        <f t="shared" si="2"/>
        <v>0</v>
      </c>
    </row>
    <row r="36" spans="2:17" ht="20.100000000000001" customHeight="1">
      <c r="B36" s="74">
        <v>31</v>
      </c>
      <c r="C36" s="83" t="str">
        <f t="shared" si="0"/>
        <v>H4</v>
      </c>
      <c r="D36" s="79">
        <v>23</v>
      </c>
      <c r="E36" s="78" t="s">
        <v>230</v>
      </c>
      <c r="F36" s="84" t="s">
        <v>231</v>
      </c>
      <c r="G36" s="103" t="s">
        <v>195</v>
      </c>
      <c r="H36" s="80">
        <v>0</v>
      </c>
      <c r="I36" s="84" t="s">
        <v>232</v>
      </c>
      <c r="J36" s="103" t="s">
        <v>195</v>
      </c>
      <c r="K36" s="80">
        <v>0</v>
      </c>
      <c r="L36" s="81">
        <f t="shared" si="1"/>
        <v>0</v>
      </c>
      <c r="M36" s="98" t="s">
        <v>233</v>
      </c>
      <c r="N36" s="99" t="s">
        <v>201</v>
      </c>
      <c r="O36" s="73"/>
      <c r="P36" s="60">
        <v>36</v>
      </c>
      <c r="Q36" s="60">
        <f t="shared" si="2"/>
        <v>18</v>
      </c>
    </row>
    <row r="37" spans="2:17" ht="20.100000000000001" customHeight="1">
      <c r="B37" s="104">
        <v>32</v>
      </c>
      <c r="C37" s="105" t="str">
        <f t="shared" si="0"/>
        <v>F4</v>
      </c>
      <c r="D37" s="106">
        <v>23</v>
      </c>
      <c r="E37" s="106" t="s">
        <v>234</v>
      </c>
      <c r="F37" s="107" t="s">
        <v>235</v>
      </c>
      <c r="G37" s="108" t="s">
        <v>236</v>
      </c>
      <c r="H37" s="109">
        <v>0</v>
      </c>
      <c r="I37" s="107" t="s">
        <v>237</v>
      </c>
      <c r="J37" s="110" t="s">
        <v>195</v>
      </c>
      <c r="K37" s="109">
        <v>0</v>
      </c>
      <c r="L37" s="111">
        <f t="shared" si="1"/>
        <v>0</v>
      </c>
      <c r="M37" s="112" t="s">
        <v>238</v>
      </c>
      <c r="N37" s="99" t="s">
        <v>201</v>
      </c>
      <c r="O37" s="73"/>
      <c r="P37" s="60">
        <v>48</v>
      </c>
      <c r="Q37" s="60">
        <f t="shared" si="2"/>
        <v>24</v>
      </c>
    </row>
    <row r="38" spans="2:17" ht="20.100000000000001" hidden="1" customHeight="1">
      <c r="B38" s="113">
        <v>33</v>
      </c>
      <c r="C38" s="84" t="str">
        <f t="shared" ref="C38:C69" si="3">M38</f>
        <v>B2</v>
      </c>
      <c r="D38" s="84">
        <v>36</v>
      </c>
      <c r="E38" s="102" t="s">
        <v>155</v>
      </c>
      <c r="F38" s="102" t="s">
        <v>239</v>
      </c>
      <c r="G38" s="102" t="s">
        <v>195</v>
      </c>
      <c r="H38" s="84">
        <v>4</v>
      </c>
      <c r="I38" s="102" t="s">
        <v>239</v>
      </c>
      <c r="J38" s="84"/>
      <c r="K38" s="84">
        <v>4</v>
      </c>
      <c r="L38" s="114">
        <f t="shared" ref="L38:L69" si="4">H38+K38</f>
        <v>8</v>
      </c>
      <c r="M38" s="102" t="s">
        <v>155</v>
      </c>
      <c r="N38" s="72"/>
      <c r="O38" s="73"/>
      <c r="P38" s="60" t="e">
        <f>VLOOKUP(E38,MBFormat!L110:M135,2,0)</f>
        <v>#N/A</v>
      </c>
      <c r="Q38" s="60" t="e">
        <f t="shared" ref="Q38:Q69" si="5">P38/2</f>
        <v>#N/A</v>
      </c>
    </row>
    <row r="39" spans="2:17" ht="20.100000000000001" hidden="1" customHeight="1">
      <c r="B39" s="115">
        <v>34</v>
      </c>
      <c r="C39" s="76" t="str">
        <f t="shared" si="3"/>
        <v>B3</v>
      </c>
      <c r="D39" s="76">
        <v>36</v>
      </c>
      <c r="E39" s="76" t="s">
        <v>173</v>
      </c>
      <c r="F39" s="102" t="s">
        <v>239</v>
      </c>
      <c r="G39" s="102" t="s">
        <v>195</v>
      </c>
      <c r="H39" s="84">
        <v>5</v>
      </c>
      <c r="I39" s="102" t="s">
        <v>239</v>
      </c>
      <c r="J39" s="84"/>
      <c r="K39" s="84">
        <v>5</v>
      </c>
      <c r="L39" s="114">
        <f t="shared" si="4"/>
        <v>10</v>
      </c>
      <c r="M39" s="76" t="s">
        <v>173</v>
      </c>
      <c r="N39" s="72"/>
      <c r="O39" s="73"/>
      <c r="P39" s="60" t="e">
        <f>VLOOKUP(E39,MBFormat!L111:M136,2,0)</f>
        <v>#N/A</v>
      </c>
      <c r="Q39" s="60" t="e">
        <f t="shared" si="5"/>
        <v>#N/A</v>
      </c>
    </row>
    <row r="40" spans="2:17" ht="20.100000000000001" hidden="1" customHeight="1">
      <c r="B40" s="115">
        <v>35</v>
      </c>
      <c r="C40" s="76" t="str">
        <f t="shared" si="3"/>
        <v>B4</v>
      </c>
      <c r="D40" s="76">
        <v>36</v>
      </c>
      <c r="E40" s="76" t="s">
        <v>240</v>
      </c>
      <c r="F40" s="102" t="s">
        <v>239</v>
      </c>
      <c r="G40" s="102" t="s">
        <v>195</v>
      </c>
      <c r="H40" s="84">
        <v>6</v>
      </c>
      <c r="I40" s="102" t="s">
        <v>239</v>
      </c>
      <c r="J40" s="84"/>
      <c r="K40" s="84">
        <v>6</v>
      </c>
      <c r="L40" s="114">
        <f t="shared" si="4"/>
        <v>12</v>
      </c>
      <c r="M40" s="76" t="s">
        <v>229</v>
      </c>
      <c r="N40" s="72"/>
      <c r="O40" s="73"/>
      <c r="P40" s="60" t="e">
        <f>VLOOKUP(E40,MBFormat!L112:M137,2,0)</f>
        <v>#N/A</v>
      </c>
      <c r="Q40" s="60" t="e">
        <f t="shared" si="5"/>
        <v>#N/A</v>
      </c>
    </row>
    <row r="41" spans="2:17" ht="20.100000000000001" hidden="1" customHeight="1">
      <c r="B41" s="115">
        <v>36</v>
      </c>
      <c r="C41" s="76" t="str">
        <f t="shared" si="3"/>
        <v>C1</v>
      </c>
      <c r="D41" s="76">
        <v>36</v>
      </c>
      <c r="E41" s="76" t="s">
        <v>83</v>
      </c>
      <c r="F41" s="102" t="s">
        <v>239</v>
      </c>
      <c r="G41" s="102" t="s">
        <v>195</v>
      </c>
      <c r="H41" s="84">
        <v>7</v>
      </c>
      <c r="I41" s="102" t="s">
        <v>239</v>
      </c>
      <c r="J41" s="84"/>
      <c r="K41" s="84">
        <v>7</v>
      </c>
      <c r="L41" s="114">
        <f t="shared" si="4"/>
        <v>14</v>
      </c>
      <c r="M41" s="76" t="s">
        <v>83</v>
      </c>
      <c r="N41" s="72"/>
      <c r="O41" s="73"/>
      <c r="P41" s="60" t="e">
        <f>VLOOKUP(E41,MBFormat!L113:M138,2,0)</f>
        <v>#N/A</v>
      </c>
      <c r="Q41" s="60" t="e">
        <f t="shared" si="5"/>
        <v>#N/A</v>
      </c>
    </row>
    <row r="42" spans="2:17" ht="20.100000000000001" hidden="1" customHeight="1">
      <c r="B42" s="116">
        <v>45</v>
      </c>
      <c r="C42" s="76" t="str">
        <f t="shared" si="3"/>
        <v>C2</v>
      </c>
      <c r="D42" s="84">
        <v>44</v>
      </c>
      <c r="E42" s="102" t="s">
        <v>149</v>
      </c>
      <c r="F42" s="102" t="s">
        <v>239</v>
      </c>
      <c r="G42" s="102" t="s">
        <v>195</v>
      </c>
      <c r="H42" s="84">
        <v>8</v>
      </c>
      <c r="I42" s="102" t="s">
        <v>239</v>
      </c>
      <c r="J42" s="84"/>
      <c r="K42" s="84">
        <v>8</v>
      </c>
      <c r="L42" s="114">
        <f t="shared" si="4"/>
        <v>16</v>
      </c>
      <c r="M42" s="102" t="s">
        <v>149</v>
      </c>
      <c r="N42" s="72"/>
      <c r="O42" s="73"/>
      <c r="P42" s="60" t="e">
        <f>VLOOKUP(E42,MBFormat!L114:M139,2,0)</f>
        <v>#N/A</v>
      </c>
      <c r="Q42" s="60" t="e">
        <f t="shared" si="5"/>
        <v>#N/A</v>
      </c>
    </row>
    <row r="43" spans="2:17" ht="20.100000000000001" hidden="1" customHeight="1">
      <c r="B43" s="116">
        <v>46</v>
      </c>
      <c r="C43" s="76" t="str">
        <f t="shared" si="3"/>
        <v>C3</v>
      </c>
      <c r="D43" s="117">
        <v>46</v>
      </c>
      <c r="E43" s="76" t="s">
        <v>178</v>
      </c>
      <c r="F43" s="102" t="s">
        <v>239</v>
      </c>
      <c r="G43" s="102" t="s">
        <v>195</v>
      </c>
      <c r="H43" s="84">
        <v>9</v>
      </c>
      <c r="I43" s="102" t="s">
        <v>239</v>
      </c>
      <c r="J43" s="84"/>
      <c r="K43" s="84">
        <v>9</v>
      </c>
      <c r="L43" s="114">
        <f t="shared" si="4"/>
        <v>18</v>
      </c>
      <c r="M43" s="76" t="s">
        <v>178</v>
      </c>
      <c r="N43" s="72"/>
      <c r="O43" s="73"/>
      <c r="P43" s="60" t="e">
        <f>VLOOKUP(E43,MBFormat!L115:M140,2,0)</f>
        <v>#N/A</v>
      </c>
      <c r="Q43" s="60" t="e">
        <f t="shared" si="5"/>
        <v>#N/A</v>
      </c>
    </row>
    <row r="44" spans="2:17" ht="20.100000000000001" hidden="1" customHeight="1">
      <c r="B44" s="116">
        <v>47</v>
      </c>
      <c r="C44" s="76" t="str">
        <f t="shared" si="3"/>
        <v>C4</v>
      </c>
      <c r="D44" s="76">
        <v>46</v>
      </c>
      <c r="E44" s="76" t="s">
        <v>240</v>
      </c>
      <c r="F44" s="102" t="s">
        <v>239</v>
      </c>
      <c r="G44" s="102" t="s">
        <v>195</v>
      </c>
      <c r="H44" s="84">
        <v>10</v>
      </c>
      <c r="I44" s="102" t="s">
        <v>239</v>
      </c>
      <c r="J44" s="84"/>
      <c r="K44" s="84">
        <v>10</v>
      </c>
      <c r="L44" s="114">
        <f t="shared" si="4"/>
        <v>20</v>
      </c>
      <c r="M44" s="76" t="s">
        <v>200</v>
      </c>
      <c r="N44" s="72"/>
      <c r="O44" s="73"/>
      <c r="P44" s="60" t="e">
        <f>VLOOKUP(E44,MBFormat!L116:M141,2,0)</f>
        <v>#N/A</v>
      </c>
      <c r="Q44" s="60" t="e">
        <f t="shared" si="5"/>
        <v>#N/A</v>
      </c>
    </row>
    <row r="45" spans="2:17" ht="20.100000000000001" hidden="1" customHeight="1">
      <c r="B45" s="116">
        <v>48</v>
      </c>
      <c r="C45" s="76" t="str">
        <f t="shared" si="3"/>
        <v>D1</v>
      </c>
      <c r="D45" s="76">
        <v>46</v>
      </c>
      <c r="E45" s="76" t="s">
        <v>89</v>
      </c>
      <c r="F45" s="102" t="s">
        <v>239</v>
      </c>
      <c r="G45" s="102" t="s">
        <v>195</v>
      </c>
      <c r="H45" s="84">
        <v>11</v>
      </c>
      <c r="I45" s="102" t="s">
        <v>239</v>
      </c>
      <c r="J45" s="84"/>
      <c r="K45" s="84">
        <v>11</v>
      </c>
      <c r="L45" s="114">
        <f t="shared" si="4"/>
        <v>22</v>
      </c>
      <c r="M45" s="76" t="s">
        <v>89</v>
      </c>
      <c r="N45" s="72"/>
      <c r="O45" s="73"/>
      <c r="P45" s="60" t="e">
        <f>VLOOKUP(E45,MBFormat!L117:M142,2,0)</f>
        <v>#N/A</v>
      </c>
      <c r="Q45" s="60" t="e">
        <f t="shared" si="5"/>
        <v>#N/A</v>
      </c>
    </row>
    <row r="46" spans="2:17" ht="20.100000000000001" hidden="1" customHeight="1">
      <c r="B46" s="116">
        <v>49</v>
      </c>
      <c r="C46" s="76" t="str">
        <f t="shared" si="3"/>
        <v>D2</v>
      </c>
      <c r="D46" s="76">
        <v>46</v>
      </c>
      <c r="E46" s="76" t="s">
        <v>143</v>
      </c>
      <c r="F46" s="102" t="s">
        <v>239</v>
      </c>
      <c r="G46" s="102" t="s">
        <v>195</v>
      </c>
      <c r="H46" s="84">
        <v>12</v>
      </c>
      <c r="I46" s="102" t="s">
        <v>239</v>
      </c>
      <c r="J46" s="84"/>
      <c r="K46" s="84">
        <v>12</v>
      </c>
      <c r="L46" s="114">
        <f t="shared" si="4"/>
        <v>24</v>
      </c>
      <c r="M46" s="76" t="s">
        <v>143</v>
      </c>
      <c r="N46" s="72"/>
      <c r="O46" s="73"/>
      <c r="P46" s="60" t="e">
        <f>VLOOKUP(E46,MBFormat!L118:M143,2,0)</f>
        <v>#N/A</v>
      </c>
      <c r="Q46" s="60" t="e">
        <f t="shared" si="5"/>
        <v>#N/A</v>
      </c>
    </row>
    <row r="47" spans="2:17" hidden="1">
      <c r="B47" s="116">
        <v>50</v>
      </c>
      <c r="C47" s="76" t="str">
        <f t="shared" si="3"/>
        <v>D3</v>
      </c>
      <c r="D47" s="76">
        <v>39</v>
      </c>
      <c r="E47" s="76" t="s">
        <v>184</v>
      </c>
      <c r="F47" s="102" t="s">
        <v>239</v>
      </c>
      <c r="G47" s="102" t="s">
        <v>195</v>
      </c>
      <c r="H47" s="84">
        <v>13</v>
      </c>
      <c r="I47" s="102" t="s">
        <v>239</v>
      </c>
      <c r="J47" s="84"/>
      <c r="K47" s="84">
        <v>13</v>
      </c>
      <c r="L47" s="114">
        <f t="shared" si="4"/>
        <v>26</v>
      </c>
      <c r="M47" s="76" t="s">
        <v>184</v>
      </c>
      <c r="N47" s="59"/>
      <c r="O47" s="59"/>
      <c r="P47" s="60" t="e">
        <f>VLOOKUP(E47,MBFormat!L119:M144,2,0)</f>
        <v>#N/A</v>
      </c>
      <c r="Q47" s="60" t="e">
        <f t="shared" si="5"/>
        <v>#N/A</v>
      </c>
    </row>
    <row r="48" spans="2:17" hidden="1">
      <c r="B48" s="116">
        <v>51</v>
      </c>
      <c r="C48" s="76" t="str">
        <f t="shared" si="3"/>
        <v>D4</v>
      </c>
      <c r="D48" s="76">
        <v>39</v>
      </c>
      <c r="E48" s="76" t="s">
        <v>240</v>
      </c>
      <c r="F48" s="102" t="s">
        <v>239</v>
      </c>
      <c r="G48" s="102" t="s">
        <v>195</v>
      </c>
      <c r="H48" s="84">
        <v>14</v>
      </c>
      <c r="I48" s="102" t="s">
        <v>239</v>
      </c>
      <c r="J48" s="84"/>
      <c r="K48" s="84">
        <v>14</v>
      </c>
      <c r="L48" s="114">
        <f t="shared" si="4"/>
        <v>28</v>
      </c>
      <c r="M48" s="76" t="s">
        <v>217</v>
      </c>
      <c r="N48" s="59"/>
      <c r="O48" s="59"/>
      <c r="P48" s="60" t="e">
        <f>VLOOKUP(E48,MBFormat!L120:M145,2,0)</f>
        <v>#N/A</v>
      </c>
      <c r="Q48" s="60" t="e">
        <f t="shared" si="5"/>
        <v>#N/A</v>
      </c>
    </row>
    <row r="49" spans="2:17" hidden="1">
      <c r="B49" s="116">
        <v>52</v>
      </c>
      <c r="C49" s="76" t="str">
        <f t="shared" si="3"/>
        <v>E1</v>
      </c>
      <c r="D49" s="76">
        <v>39</v>
      </c>
      <c r="E49" s="76" t="s">
        <v>95</v>
      </c>
      <c r="F49" s="102" t="s">
        <v>239</v>
      </c>
      <c r="G49" s="102" t="s">
        <v>195</v>
      </c>
      <c r="H49" s="84">
        <v>15</v>
      </c>
      <c r="I49" s="102" t="s">
        <v>239</v>
      </c>
      <c r="J49" s="84"/>
      <c r="K49" s="84">
        <v>15</v>
      </c>
      <c r="L49" s="114">
        <f t="shared" si="4"/>
        <v>30</v>
      </c>
      <c r="M49" s="76" t="s">
        <v>95</v>
      </c>
      <c r="N49" s="59"/>
      <c r="O49" s="59"/>
      <c r="P49" s="60" t="e">
        <f>VLOOKUP(E49,MBFormat!L121:M146,2,0)</f>
        <v>#N/A</v>
      </c>
      <c r="Q49" s="60" t="e">
        <f t="shared" si="5"/>
        <v>#N/A</v>
      </c>
    </row>
    <row r="50" spans="2:17" hidden="1">
      <c r="B50" s="116">
        <v>53</v>
      </c>
      <c r="C50" s="76" t="str">
        <f t="shared" si="3"/>
        <v>E2</v>
      </c>
      <c r="D50" s="76">
        <v>39</v>
      </c>
      <c r="E50" s="76" t="s">
        <v>137</v>
      </c>
      <c r="F50" s="102" t="s">
        <v>239</v>
      </c>
      <c r="G50" s="102" t="s">
        <v>195</v>
      </c>
      <c r="H50" s="84">
        <v>16</v>
      </c>
      <c r="I50" s="102" t="s">
        <v>239</v>
      </c>
      <c r="J50" s="84"/>
      <c r="K50" s="84">
        <v>16</v>
      </c>
      <c r="L50" s="114">
        <f t="shared" si="4"/>
        <v>32</v>
      </c>
      <c r="M50" s="76" t="s">
        <v>137</v>
      </c>
      <c r="N50" s="59"/>
      <c r="O50" s="59"/>
      <c r="P50" s="60" t="e">
        <f>VLOOKUP(E50,MBFormat!L122:M147,2,0)</f>
        <v>#N/A</v>
      </c>
      <c r="Q50" s="60" t="e">
        <f t="shared" si="5"/>
        <v>#N/A</v>
      </c>
    </row>
    <row r="51" spans="2:17" hidden="1">
      <c r="B51" s="116">
        <v>54</v>
      </c>
      <c r="C51" s="76" t="str">
        <f t="shared" si="3"/>
        <v>E3</v>
      </c>
      <c r="D51" s="76">
        <v>39</v>
      </c>
      <c r="E51" s="76" t="s">
        <v>190</v>
      </c>
      <c r="F51" s="102" t="s">
        <v>239</v>
      </c>
      <c r="G51" s="102" t="s">
        <v>195</v>
      </c>
      <c r="H51" s="84">
        <v>17</v>
      </c>
      <c r="I51" s="102" t="s">
        <v>239</v>
      </c>
      <c r="J51" s="84"/>
      <c r="K51" s="84">
        <v>17</v>
      </c>
      <c r="L51" s="114">
        <f t="shared" si="4"/>
        <v>34</v>
      </c>
      <c r="M51" s="76" t="s">
        <v>190</v>
      </c>
      <c r="N51" s="59"/>
      <c r="O51" s="59"/>
      <c r="P51" s="60" t="e">
        <f>VLOOKUP(E51,MBFormat!L123:M148,2,0)</f>
        <v>#N/A</v>
      </c>
      <c r="Q51" s="60" t="e">
        <f t="shared" si="5"/>
        <v>#N/A</v>
      </c>
    </row>
    <row r="52" spans="2:17" hidden="1">
      <c r="B52" s="116">
        <v>55</v>
      </c>
      <c r="C52" s="76" t="str">
        <f t="shared" si="3"/>
        <v>E4</v>
      </c>
      <c r="D52" s="76">
        <v>39</v>
      </c>
      <c r="E52" s="76" t="s">
        <v>240</v>
      </c>
      <c r="F52" s="102" t="s">
        <v>239</v>
      </c>
      <c r="G52" s="102" t="s">
        <v>195</v>
      </c>
      <c r="H52" s="84">
        <v>18</v>
      </c>
      <c r="I52" s="102" t="s">
        <v>239</v>
      </c>
      <c r="J52" s="84"/>
      <c r="K52" s="84">
        <v>18</v>
      </c>
      <c r="L52" s="114">
        <f t="shared" si="4"/>
        <v>36</v>
      </c>
      <c r="M52" s="76" t="s">
        <v>221</v>
      </c>
      <c r="N52" s="59"/>
      <c r="O52" s="59"/>
      <c r="P52" s="60" t="e">
        <f>VLOOKUP(E52,MBFormat!L124:M149,2,0)</f>
        <v>#N/A</v>
      </c>
      <c r="Q52" s="60" t="e">
        <f t="shared" si="5"/>
        <v>#N/A</v>
      </c>
    </row>
    <row r="53" spans="2:17" hidden="1">
      <c r="B53" s="116">
        <v>56</v>
      </c>
      <c r="C53" s="76" t="str">
        <f t="shared" si="3"/>
        <v>F1</v>
      </c>
      <c r="D53" s="76">
        <v>39</v>
      </c>
      <c r="E53" s="76" t="s">
        <v>101</v>
      </c>
      <c r="F53" s="102" t="s">
        <v>239</v>
      </c>
      <c r="G53" s="102" t="s">
        <v>195</v>
      </c>
      <c r="H53" s="84">
        <v>19</v>
      </c>
      <c r="I53" s="102" t="s">
        <v>239</v>
      </c>
      <c r="J53" s="84"/>
      <c r="K53" s="84">
        <v>19</v>
      </c>
      <c r="L53" s="114">
        <f t="shared" si="4"/>
        <v>38</v>
      </c>
      <c r="M53" s="76" t="s">
        <v>101</v>
      </c>
      <c r="N53" s="59"/>
      <c r="O53" s="59"/>
      <c r="P53" s="60" t="e">
        <f>VLOOKUP(E53,MBFormat!L125:M150,2,0)</f>
        <v>#N/A</v>
      </c>
      <c r="Q53" s="60" t="e">
        <f t="shared" si="5"/>
        <v>#N/A</v>
      </c>
    </row>
    <row r="54" spans="2:17" hidden="1">
      <c r="B54" s="116">
        <v>57</v>
      </c>
      <c r="C54" s="76" t="str">
        <f t="shared" si="3"/>
        <v>F2</v>
      </c>
      <c r="D54" s="76">
        <v>39</v>
      </c>
      <c r="E54" s="76" t="s">
        <v>131</v>
      </c>
      <c r="F54" s="102" t="s">
        <v>239</v>
      </c>
      <c r="G54" s="102" t="s">
        <v>195</v>
      </c>
      <c r="H54" s="84">
        <v>20</v>
      </c>
      <c r="I54" s="102" t="s">
        <v>239</v>
      </c>
      <c r="J54" s="84"/>
      <c r="K54" s="84">
        <v>20</v>
      </c>
      <c r="L54" s="114">
        <f t="shared" si="4"/>
        <v>40</v>
      </c>
      <c r="M54" s="76" t="s">
        <v>131</v>
      </c>
      <c r="N54" s="59"/>
      <c r="O54" s="59"/>
      <c r="P54" s="60" t="e">
        <f>VLOOKUP(E54,MBFormat!L126:M151,2,0)</f>
        <v>#N/A</v>
      </c>
      <c r="Q54" s="60" t="e">
        <f t="shared" si="5"/>
        <v>#N/A</v>
      </c>
    </row>
    <row r="55" spans="2:17" hidden="1">
      <c r="B55" s="116">
        <v>58</v>
      </c>
      <c r="C55" s="76" t="str">
        <f t="shared" si="3"/>
        <v>F3</v>
      </c>
      <c r="D55" s="76">
        <v>39</v>
      </c>
      <c r="E55" s="76" t="s">
        <v>196</v>
      </c>
      <c r="F55" s="102" t="s">
        <v>239</v>
      </c>
      <c r="G55" s="102" t="s">
        <v>195</v>
      </c>
      <c r="H55" s="84">
        <v>21</v>
      </c>
      <c r="I55" s="102" t="s">
        <v>239</v>
      </c>
      <c r="J55" s="84"/>
      <c r="K55" s="84">
        <v>21</v>
      </c>
      <c r="L55" s="114">
        <f t="shared" si="4"/>
        <v>42</v>
      </c>
      <c r="M55" s="76" t="s">
        <v>196</v>
      </c>
      <c r="N55" s="59"/>
      <c r="O55" s="59"/>
      <c r="P55" s="60" t="e">
        <f>VLOOKUP(E55,MBFormat!L127:M152,2,0)</f>
        <v>#N/A</v>
      </c>
      <c r="Q55" s="60" t="e">
        <f t="shared" si="5"/>
        <v>#N/A</v>
      </c>
    </row>
    <row r="56" spans="2:17" hidden="1">
      <c r="B56" s="116">
        <v>59</v>
      </c>
      <c r="C56" s="76" t="str">
        <f t="shared" si="3"/>
        <v>F4</v>
      </c>
      <c r="D56" s="76">
        <v>39</v>
      </c>
      <c r="E56" s="76" t="s">
        <v>240</v>
      </c>
      <c r="F56" s="102" t="s">
        <v>239</v>
      </c>
      <c r="G56" s="102" t="s">
        <v>195</v>
      </c>
      <c r="H56" s="84">
        <v>22</v>
      </c>
      <c r="I56" s="102" t="s">
        <v>239</v>
      </c>
      <c r="J56" s="84"/>
      <c r="K56" s="84">
        <v>22</v>
      </c>
      <c r="L56" s="114">
        <f t="shared" si="4"/>
        <v>44</v>
      </c>
      <c r="M56" s="76" t="s">
        <v>238</v>
      </c>
      <c r="N56" s="59"/>
      <c r="O56" s="59"/>
      <c r="P56" s="60" t="e">
        <f>VLOOKUP(E56,MBFormat!L128:M153,2,0)</f>
        <v>#N/A</v>
      </c>
      <c r="Q56" s="60" t="e">
        <f t="shared" si="5"/>
        <v>#N/A</v>
      </c>
    </row>
    <row r="57" spans="2:17" hidden="1">
      <c r="B57" s="116">
        <v>60</v>
      </c>
      <c r="C57" s="76" t="str">
        <f t="shared" si="3"/>
        <v>G1</v>
      </c>
      <c r="D57" s="76">
        <v>39</v>
      </c>
      <c r="E57" s="76" t="s">
        <v>107</v>
      </c>
      <c r="F57" s="102" t="s">
        <v>239</v>
      </c>
      <c r="G57" s="102" t="s">
        <v>195</v>
      </c>
      <c r="H57" s="84">
        <v>23</v>
      </c>
      <c r="I57" s="102" t="s">
        <v>239</v>
      </c>
      <c r="J57" s="84"/>
      <c r="K57" s="84">
        <v>23</v>
      </c>
      <c r="L57" s="114">
        <f t="shared" si="4"/>
        <v>46</v>
      </c>
      <c r="M57" s="76" t="s">
        <v>107</v>
      </c>
      <c r="N57" s="59"/>
      <c r="O57" s="59"/>
      <c r="P57" s="60" t="e">
        <f>VLOOKUP(E57,MBFormat!L129:M154,2,0)</f>
        <v>#N/A</v>
      </c>
      <c r="Q57" s="60" t="e">
        <f t="shared" si="5"/>
        <v>#N/A</v>
      </c>
    </row>
    <row r="58" spans="2:17" hidden="1">
      <c r="B58" s="116">
        <v>61</v>
      </c>
      <c r="C58" s="76" t="str">
        <f t="shared" si="3"/>
        <v>G2</v>
      </c>
      <c r="D58" s="76">
        <v>39</v>
      </c>
      <c r="E58" s="76" t="s">
        <v>125</v>
      </c>
      <c r="F58" s="102" t="s">
        <v>239</v>
      </c>
      <c r="G58" s="102" t="s">
        <v>195</v>
      </c>
      <c r="H58" s="84">
        <v>24</v>
      </c>
      <c r="I58" s="102" t="s">
        <v>239</v>
      </c>
      <c r="J58" s="84"/>
      <c r="K58" s="84">
        <v>24</v>
      </c>
      <c r="L58" s="114">
        <f t="shared" si="4"/>
        <v>48</v>
      </c>
      <c r="M58" s="76" t="s">
        <v>125</v>
      </c>
      <c r="N58" s="59"/>
      <c r="O58" s="59"/>
      <c r="P58" s="60" t="e">
        <f>VLOOKUP(E58,MBFormat!L130:M155,2,0)</f>
        <v>#N/A</v>
      </c>
      <c r="Q58" s="60" t="e">
        <f t="shared" si="5"/>
        <v>#N/A</v>
      </c>
    </row>
    <row r="59" spans="2:17" hidden="1">
      <c r="B59" s="116">
        <v>62</v>
      </c>
      <c r="C59" s="76" t="str">
        <f t="shared" si="3"/>
        <v>G3</v>
      </c>
      <c r="D59" s="76">
        <v>39</v>
      </c>
      <c r="E59" s="76" t="s">
        <v>213</v>
      </c>
      <c r="F59" s="102" t="s">
        <v>239</v>
      </c>
      <c r="G59" s="102" t="s">
        <v>195</v>
      </c>
      <c r="H59" s="84">
        <v>25</v>
      </c>
      <c r="I59" s="102" t="s">
        <v>239</v>
      </c>
      <c r="J59" s="84"/>
      <c r="K59" s="84">
        <v>25</v>
      </c>
      <c r="L59" s="114">
        <f t="shared" si="4"/>
        <v>50</v>
      </c>
      <c r="M59" s="76" t="s">
        <v>213</v>
      </c>
      <c r="N59" s="59"/>
      <c r="O59" s="59"/>
      <c r="P59" s="60" t="e">
        <f>VLOOKUP(E59,MBFormat!L131:M156,2,0)</f>
        <v>#N/A</v>
      </c>
      <c r="Q59" s="60" t="e">
        <f t="shared" si="5"/>
        <v>#N/A</v>
      </c>
    </row>
    <row r="60" spans="2:17" hidden="1">
      <c r="B60" s="116">
        <v>63</v>
      </c>
      <c r="C60" s="76" t="str">
        <f t="shared" si="3"/>
        <v>G4</v>
      </c>
      <c r="D60" s="76">
        <v>39</v>
      </c>
      <c r="E60" s="76" t="s">
        <v>240</v>
      </c>
      <c r="F60" s="102" t="s">
        <v>239</v>
      </c>
      <c r="G60" s="102" t="s">
        <v>195</v>
      </c>
      <c r="H60" s="84">
        <v>26</v>
      </c>
      <c r="I60" s="102" t="s">
        <v>239</v>
      </c>
      <c r="J60" s="84"/>
      <c r="K60" s="84">
        <v>26</v>
      </c>
      <c r="L60" s="114">
        <f t="shared" si="4"/>
        <v>52</v>
      </c>
      <c r="M60" s="76" t="s">
        <v>225</v>
      </c>
      <c r="N60" s="59"/>
      <c r="O60" s="59"/>
      <c r="P60" s="60" t="e">
        <f>VLOOKUP(E60,MBFormat!L132:M157,2,0)</f>
        <v>#N/A</v>
      </c>
      <c r="Q60" s="60" t="e">
        <f t="shared" si="5"/>
        <v>#N/A</v>
      </c>
    </row>
    <row r="61" spans="2:17" hidden="1">
      <c r="B61" s="116">
        <v>64</v>
      </c>
      <c r="C61" s="76" t="str">
        <f t="shared" si="3"/>
        <v>H1</v>
      </c>
      <c r="D61" s="76">
        <v>39</v>
      </c>
      <c r="E61" s="76" t="s">
        <v>113</v>
      </c>
      <c r="F61" s="102" t="s">
        <v>239</v>
      </c>
      <c r="G61" s="102" t="s">
        <v>195</v>
      </c>
      <c r="H61" s="84">
        <v>27</v>
      </c>
      <c r="I61" s="102" t="s">
        <v>239</v>
      </c>
      <c r="J61" s="84"/>
      <c r="K61" s="84">
        <v>27</v>
      </c>
      <c r="L61" s="114">
        <f t="shared" si="4"/>
        <v>54</v>
      </c>
      <c r="M61" s="76" t="s">
        <v>113</v>
      </c>
      <c r="N61" s="59"/>
      <c r="O61" s="59"/>
      <c r="P61" s="60" t="e">
        <f>VLOOKUP(E61,MBFormat!L133:M158,2,0)</f>
        <v>#N/A</v>
      </c>
      <c r="Q61" s="60" t="e">
        <f t="shared" si="5"/>
        <v>#N/A</v>
      </c>
    </row>
    <row r="62" spans="2:17" hidden="1">
      <c r="B62" s="116">
        <v>65</v>
      </c>
      <c r="C62" s="76" t="str">
        <f t="shared" si="3"/>
        <v>H2</v>
      </c>
      <c r="D62" s="76">
        <v>39</v>
      </c>
      <c r="E62" s="76" t="s">
        <v>119</v>
      </c>
      <c r="F62" s="102" t="s">
        <v>239</v>
      </c>
      <c r="G62" s="102" t="s">
        <v>195</v>
      </c>
      <c r="H62" s="84">
        <v>28</v>
      </c>
      <c r="I62" s="102" t="s">
        <v>239</v>
      </c>
      <c r="J62" s="84"/>
      <c r="K62" s="84">
        <v>28</v>
      </c>
      <c r="L62" s="114">
        <f t="shared" si="4"/>
        <v>56</v>
      </c>
      <c r="M62" s="76" t="s">
        <v>119</v>
      </c>
      <c r="N62" s="59"/>
      <c r="O62" s="59"/>
      <c r="P62" s="60" t="e">
        <f>VLOOKUP(E62,MBFormat!L134:M159,2,0)</f>
        <v>#N/A</v>
      </c>
      <c r="Q62" s="60" t="e">
        <f t="shared" si="5"/>
        <v>#N/A</v>
      </c>
    </row>
    <row r="63" spans="2:17" hidden="1">
      <c r="B63" s="116">
        <v>66</v>
      </c>
      <c r="C63" s="76" t="str">
        <f t="shared" si="3"/>
        <v>H3</v>
      </c>
      <c r="D63" s="76">
        <v>39</v>
      </c>
      <c r="E63" s="76" t="s">
        <v>205</v>
      </c>
      <c r="F63" s="102" t="s">
        <v>239</v>
      </c>
      <c r="G63" s="102" t="s">
        <v>195</v>
      </c>
      <c r="H63" s="84">
        <v>29</v>
      </c>
      <c r="I63" s="102" t="s">
        <v>239</v>
      </c>
      <c r="J63" s="84"/>
      <c r="K63" s="84">
        <v>29</v>
      </c>
      <c r="L63" s="114">
        <f t="shared" si="4"/>
        <v>58</v>
      </c>
      <c r="M63" s="76" t="s">
        <v>205</v>
      </c>
      <c r="N63" s="59"/>
      <c r="O63" s="59"/>
      <c r="P63" s="60" t="e">
        <f>VLOOKUP(E63,MBFormat!L135:M160,2,0)</f>
        <v>#N/A</v>
      </c>
      <c r="Q63" s="60" t="e">
        <f t="shared" si="5"/>
        <v>#N/A</v>
      </c>
    </row>
    <row r="64" spans="2:17" hidden="1">
      <c r="B64" s="116">
        <v>67</v>
      </c>
      <c r="C64" s="76" t="str">
        <f t="shared" si="3"/>
        <v>H4</v>
      </c>
      <c r="D64" s="76">
        <v>39</v>
      </c>
      <c r="E64" s="76" t="s">
        <v>233</v>
      </c>
      <c r="F64" s="102" t="s">
        <v>239</v>
      </c>
      <c r="G64" s="102" t="s">
        <v>195</v>
      </c>
      <c r="H64" s="84">
        <v>30</v>
      </c>
      <c r="I64" s="102" t="s">
        <v>239</v>
      </c>
      <c r="J64" s="84"/>
      <c r="K64" s="84">
        <v>30</v>
      </c>
      <c r="L64" s="114">
        <f t="shared" si="4"/>
        <v>60</v>
      </c>
      <c r="M64" s="76" t="s">
        <v>233</v>
      </c>
      <c r="N64" s="59"/>
      <c r="O64" s="59"/>
      <c r="P64" s="60" t="e">
        <f>VLOOKUP(E64,MBFormat!L136:M161,2,0)</f>
        <v>#N/A</v>
      </c>
      <c r="Q64" s="60" t="e">
        <f t="shared" si="5"/>
        <v>#N/A</v>
      </c>
    </row>
    <row r="65" spans="2:17" hidden="1">
      <c r="B65" s="116">
        <v>68</v>
      </c>
      <c r="C65" s="76" t="str">
        <f t="shared" si="3"/>
        <v>C3</v>
      </c>
      <c r="D65" s="76">
        <v>39</v>
      </c>
      <c r="E65" s="76" t="s">
        <v>178</v>
      </c>
      <c r="F65" s="102" t="s">
        <v>239</v>
      </c>
      <c r="G65" s="102" t="s">
        <v>195</v>
      </c>
      <c r="H65" s="84">
        <v>31</v>
      </c>
      <c r="I65" s="102" t="s">
        <v>239</v>
      </c>
      <c r="J65" s="84"/>
      <c r="K65" s="84">
        <v>31</v>
      </c>
      <c r="L65" s="114">
        <f t="shared" si="4"/>
        <v>62</v>
      </c>
      <c r="M65" s="76" t="s">
        <v>178</v>
      </c>
      <c r="N65" s="59"/>
      <c r="O65" s="59"/>
      <c r="P65" s="60" t="e">
        <f>VLOOKUP(E65,MBFormat!L137:M162,2,0)</f>
        <v>#N/A</v>
      </c>
      <c r="Q65" s="60" t="e">
        <f t="shared" si="5"/>
        <v>#N/A</v>
      </c>
    </row>
    <row r="66" spans="2:17" hidden="1">
      <c r="B66" s="116">
        <v>69</v>
      </c>
      <c r="C66" s="76" t="str">
        <f t="shared" si="3"/>
        <v>D3</v>
      </c>
      <c r="D66" s="76">
        <v>39</v>
      </c>
      <c r="E66" s="76" t="s">
        <v>184</v>
      </c>
      <c r="F66" s="102" t="s">
        <v>239</v>
      </c>
      <c r="G66" s="102" t="s">
        <v>195</v>
      </c>
      <c r="H66" s="84">
        <v>32</v>
      </c>
      <c r="I66" s="102" t="s">
        <v>239</v>
      </c>
      <c r="J66" s="84"/>
      <c r="K66" s="84">
        <v>32</v>
      </c>
      <c r="L66" s="114">
        <f t="shared" si="4"/>
        <v>64</v>
      </c>
      <c r="M66" s="76" t="s">
        <v>184</v>
      </c>
      <c r="N66" s="59"/>
      <c r="O66" s="59"/>
      <c r="P66" s="60" t="e">
        <f>VLOOKUP(E66,MBFormat!L138:M163,2,0)</f>
        <v>#N/A</v>
      </c>
      <c r="Q66" s="60" t="e">
        <f t="shared" si="5"/>
        <v>#N/A</v>
      </c>
    </row>
    <row r="67" spans="2:17" hidden="1">
      <c r="B67" s="116">
        <v>70</v>
      </c>
      <c r="C67" s="76" t="str">
        <f t="shared" si="3"/>
        <v>E3</v>
      </c>
      <c r="D67" s="76">
        <v>39</v>
      </c>
      <c r="E67" s="76" t="s">
        <v>190</v>
      </c>
      <c r="F67" s="102" t="s">
        <v>239</v>
      </c>
      <c r="G67" s="102" t="s">
        <v>195</v>
      </c>
      <c r="H67" s="84">
        <v>33</v>
      </c>
      <c r="I67" s="102" t="s">
        <v>239</v>
      </c>
      <c r="J67" s="84"/>
      <c r="K67" s="84">
        <v>33</v>
      </c>
      <c r="L67" s="114">
        <f t="shared" si="4"/>
        <v>66</v>
      </c>
      <c r="M67" s="76" t="s">
        <v>190</v>
      </c>
      <c r="N67" s="59"/>
      <c r="O67" s="59"/>
      <c r="P67" s="60" t="e">
        <f>VLOOKUP(E67,MBFormat!L139:M164,2,0)</f>
        <v>#N/A</v>
      </c>
      <c r="Q67" s="60" t="e">
        <f t="shared" si="5"/>
        <v>#N/A</v>
      </c>
    </row>
    <row r="68" spans="2:17" hidden="1">
      <c r="B68" s="116">
        <v>71</v>
      </c>
      <c r="C68" s="76" t="str">
        <f t="shared" si="3"/>
        <v>F3</v>
      </c>
      <c r="D68" s="76">
        <v>39</v>
      </c>
      <c r="E68" s="76" t="s">
        <v>196</v>
      </c>
      <c r="F68" s="102" t="s">
        <v>239</v>
      </c>
      <c r="G68" s="102" t="s">
        <v>195</v>
      </c>
      <c r="H68" s="84">
        <v>34</v>
      </c>
      <c r="I68" s="102" t="s">
        <v>239</v>
      </c>
      <c r="J68" s="84"/>
      <c r="K68" s="84">
        <v>34</v>
      </c>
      <c r="L68" s="114">
        <f t="shared" si="4"/>
        <v>68</v>
      </c>
      <c r="M68" s="76" t="s">
        <v>196</v>
      </c>
      <c r="N68" s="59"/>
      <c r="O68" s="59"/>
      <c r="P68" s="60" t="e">
        <f>VLOOKUP(E68,MBFormat!L140:M165,2,0)</f>
        <v>#N/A</v>
      </c>
      <c r="Q68" s="60" t="e">
        <f t="shared" si="5"/>
        <v>#N/A</v>
      </c>
    </row>
    <row r="69" spans="2:17" hidden="1">
      <c r="B69" s="116">
        <v>72</v>
      </c>
      <c r="C69" s="76" t="str">
        <f t="shared" si="3"/>
        <v>G3</v>
      </c>
      <c r="D69" s="76">
        <v>39</v>
      </c>
      <c r="E69" s="76" t="s">
        <v>213</v>
      </c>
      <c r="F69" s="102" t="s">
        <v>239</v>
      </c>
      <c r="G69" s="76"/>
      <c r="H69" s="84">
        <v>35</v>
      </c>
      <c r="I69" s="102" t="s">
        <v>239</v>
      </c>
      <c r="J69" s="84"/>
      <c r="K69" s="84">
        <v>35</v>
      </c>
      <c r="L69" s="114">
        <f t="shared" si="4"/>
        <v>70</v>
      </c>
      <c r="M69" s="76" t="s">
        <v>213</v>
      </c>
      <c r="N69" s="59"/>
      <c r="O69" s="59"/>
      <c r="P69" s="60" t="e">
        <f>VLOOKUP(E69,MBFormat!L141:M166,2,0)</f>
        <v>#N/A</v>
      </c>
      <c r="Q69" s="60" t="e">
        <f t="shared" si="5"/>
        <v>#N/A</v>
      </c>
    </row>
    <row r="70" spans="2:17" hidden="1">
      <c r="B70" s="116">
        <v>73</v>
      </c>
      <c r="C70" s="76" t="str">
        <f t="shared" ref="C70:C85" si="6">M70</f>
        <v>H3</v>
      </c>
      <c r="D70" s="76">
        <v>39</v>
      </c>
      <c r="E70" s="76" t="s">
        <v>205</v>
      </c>
      <c r="F70" s="102" t="s">
        <v>239</v>
      </c>
      <c r="G70" s="76"/>
      <c r="H70" s="84">
        <v>36</v>
      </c>
      <c r="I70" s="102" t="s">
        <v>239</v>
      </c>
      <c r="J70" s="84"/>
      <c r="K70" s="84">
        <v>36</v>
      </c>
      <c r="L70" s="114">
        <f t="shared" ref="L70:L101" si="7">H70+K70</f>
        <v>72</v>
      </c>
      <c r="M70" s="76" t="s">
        <v>205</v>
      </c>
      <c r="N70" s="59"/>
      <c r="O70" s="59"/>
      <c r="P70" s="60" t="e">
        <f>VLOOKUP(E70,MBFormat!L142:M167,2,0)</f>
        <v>#N/A</v>
      </c>
      <c r="Q70" s="60" t="e">
        <f t="shared" ref="Q70:Q101" si="8">P70/2</f>
        <v>#N/A</v>
      </c>
    </row>
    <row r="71" spans="2:17" hidden="1">
      <c r="B71" s="116">
        <v>74</v>
      </c>
      <c r="C71" s="76" t="str">
        <f t="shared" si="6"/>
        <v>BYE</v>
      </c>
      <c r="D71" s="76">
        <v>39</v>
      </c>
      <c r="E71" s="42" t="s">
        <v>240</v>
      </c>
      <c r="F71" s="102" t="s">
        <v>239</v>
      </c>
      <c r="G71" s="76"/>
      <c r="H71" s="84">
        <v>37</v>
      </c>
      <c r="I71" s="102" t="s">
        <v>239</v>
      </c>
      <c r="J71" s="84"/>
      <c r="K71" s="84">
        <v>37</v>
      </c>
      <c r="L71" s="114">
        <f t="shared" si="7"/>
        <v>74</v>
      </c>
      <c r="M71" s="42" t="s">
        <v>240</v>
      </c>
      <c r="N71" s="59"/>
      <c r="O71" s="59"/>
      <c r="P71" s="60" t="e">
        <f>VLOOKUP(E71,MBFormat!L143:M168,2,0)</f>
        <v>#N/A</v>
      </c>
      <c r="Q71" s="60" t="e">
        <f t="shared" si="8"/>
        <v>#N/A</v>
      </c>
    </row>
    <row r="72" spans="2:17" hidden="1">
      <c r="B72" s="116">
        <v>75</v>
      </c>
      <c r="C72" s="76" t="str">
        <f t="shared" si="6"/>
        <v>BYE</v>
      </c>
      <c r="D72" s="76">
        <v>39</v>
      </c>
      <c r="E72" s="42" t="s">
        <v>240</v>
      </c>
      <c r="F72" s="118"/>
      <c r="G72" s="76"/>
      <c r="H72" s="76" t="s">
        <v>241</v>
      </c>
      <c r="I72" s="119">
        <v>0</v>
      </c>
      <c r="J72" s="76"/>
      <c r="K72" s="120" t="e">
        <f>NA()</f>
        <v>#N/A</v>
      </c>
      <c r="L72" s="119">
        <v>0</v>
      </c>
      <c r="M72" s="42" t="s">
        <v>240</v>
      </c>
      <c r="N72" s="59"/>
      <c r="O72" s="59"/>
      <c r="P72" s="60" t="e">
        <f>VLOOKUP(E72,MBFormat!L144:M169,2,0)</f>
        <v>#N/A</v>
      </c>
      <c r="Q72" s="60" t="e">
        <f t="shared" si="8"/>
        <v>#N/A</v>
      </c>
    </row>
    <row r="73" spans="2:17" hidden="1">
      <c r="B73" s="116">
        <v>76</v>
      </c>
      <c r="C73" s="76" t="str">
        <f t="shared" si="6"/>
        <v>BYE</v>
      </c>
      <c r="D73" s="76">
        <v>39</v>
      </c>
      <c r="E73" s="42" t="s">
        <v>240</v>
      </c>
      <c r="F73" s="118"/>
      <c r="G73" s="76"/>
      <c r="H73" s="121" t="s">
        <v>195</v>
      </c>
      <c r="I73" s="119">
        <v>0</v>
      </c>
      <c r="J73" s="76"/>
      <c r="K73" s="120" t="e">
        <f>NA()</f>
        <v>#N/A</v>
      </c>
      <c r="L73" s="119">
        <v>0</v>
      </c>
      <c r="M73" s="42" t="s">
        <v>240</v>
      </c>
      <c r="N73" s="59"/>
      <c r="O73" s="59"/>
      <c r="P73" s="60" t="e">
        <f>VLOOKUP(E73,MBFormat!L145:M170,2,0)</f>
        <v>#N/A</v>
      </c>
      <c r="Q73" s="60" t="e">
        <f t="shared" si="8"/>
        <v>#N/A</v>
      </c>
    </row>
    <row r="74" spans="2:17" hidden="1">
      <c r="B74" s="116">
        <v>77</v>
      </c>
      <c r="C74" s="76" t="str">
        <f t="shared" si="6"/>
        <v>BYE</v>
      </c>
      <c r="D74" s="76">
        <v>39</v>
      </c>
      <c r="E74" s="42" t="s">
        <v>240</v>
      </c>
      <c r="F74" s="118"/>
      <c r="G74" s="76"/>
      <c r="H74" s="76" t="s">
        <v>242</v>
      </c>
      <c r="I74" s="119">
        <v>0</v>
      </c>
      <c r="J74" s="76"/>
      <c r="K74" s="120" t="e">
        <f>NA()</f>
        <v>#N/A</v>
      </c>
      <c r="L74" s="119">
        <v>0</v>
      </c>
      <c r="M74" s="42" t="s">
        <v>240</v>
      </c>
      <c r="N74" s="59"/>
      <c r="O74" s="59"/>
      <c r="P74" s="60" t="e">
        <f>VLOOKUP(E74,MBFormat!L146:M171,2,0)</f>
        <v>#N/A</v>
      </c>
      <c r="Q74" s="60" t="e">
        <f t="shared" si="8"/>
        <v>#N/A</v>
      </c>
    </row>
    <row r="75" spans="2:17" hidden="1">
      <c r="B75" s="116">
        <v>78</v>
      </c>
      <c r="C75" s="76" t="str">
        <f t="shared" si="6"/>
        <v>E4</v>
      </c>
      <c r="D75" s="76">
        <v>39</v>
      </c>
      <c r="E75" s="42" t="s">
        <v>221</v>
      </c>
      <c r="F75" s="118"/>
      <c r="G75" s="76"/>
      <c r="H75" s="121" t="s">
        <v>195</v>
      </c>
      <c r="I75" s="119">
        <v>0</v>
      </c>
      <c r="J75" s="76"/>
      <c r="K75" s="120" t="e">
        <f>NA()</f>
        <v>#N/A</v>
      </c>
      <c r="L75" s="119">
        <v>0</v>
      </c>
      <c r="M75" s="42" t="s">
        <v>221</v>
      </c>
      <c r="N75" s="59"/>
      <c r="O75" s="59"/>
      <c r="P75" s="60" t="e">
        <f>VLOOKUP(E75,MBFormat!L147:M172,2,0)</f>
        <v>#N/A</v>
      </c>
      <c r="Q75" s="60" t="e">
        <f t="shared" si="8"/>
        <v>#N/A</v>
      </c>
    </row>
    <row r="76" spans="2:17" hidden="1">
      <c r="B76" s="116">
        <v>79</v>
      </c>
      <c r="C76" s="76" t="str">
        <f t="shared" si="6"/>
        <v>F4</v>
      </c>
      <c r="D76" s="76">
        <v>39</v>
      </c>
      <c r="E76" s="42" t="s">
        <v>238</v>
      </c>
      <c r="F76" s="118"/>
      <c r="G76" s="76"/>
      <c r="H76" s="76" t="s">
        <v>243</v>
      </c>
      <c r="I76" s="119">
        <v>0</v>
      </c>
      <c r="J76" s="76"/>
      <c r="K76" s="120" t="e">
        <f>NA()</f>
        <v>#N/A</v>
      </c>
      <c r="L76" s="119">
        <v>0</v>
      </c>
      <c r="M76" s="42" t="s">
        <v>238</v>
      </c>
      <c r="N76" s="59"/>
      <c r="O76" s="59"/>
      <c r="P76" s="60" t="e">
        <f>VLOOKUP(E76,MBFormat!L148:M173,2,0)</f>
        <v>#N/A</v>
      </c>
      <c r="Q76" s="60" t="e">
        <f t="shared" si="8"/>
        <v>#N/A</v>
      </c>
    </row>
    <row r="77" spans="2:17" hidden="1">
      <c r="B77" s="116">
        <v>80</v>
      </c>
      <c r="C77" s="76" t="str">
        <f t="shared" si="6"/>
        <v>G4</v>
      </c>
      <c r="D77" s="76">
        <v>39</v>
      </c>
      <c r="E77" s="42" t="s">
        <v>225</v>
      </c>
      <c r="F77" s="118"/>
      <c r="G77" s="76"/>
      <c r="H77" s="121" t="s">
        <v>195</v>
      </c>
      <c r="I77" s="119">
        <v>0</v>
      </c>
      <c r="J77" s="76"/>
      <c r="K77" s="120" t="e">
        <f>NA()</f>
        <v>#N/A</v>
      </c>
      <c r="L77" s="119">
        <v>0</v>
      </c>
      <c r="M77" s="42" t="s">
        <v>225</v>
      </c>
      <c r="N77" s="59"/>
      <c r="O77" s="59"/>
      <c r="P77" s="60" t="e">
        <f>VLOOKUP(E77,MBFormat!L149:M174,2,0)</f>
        <v>#N/A</v>
      </c>
      <c r="Q77" s="60" t="e">
        <f t="shared" si="8"/>
        <v>#N/A</v>
      </c>
    </row>
    <row r="78" spans="2:17" hidden="1">
      <c r="B78" s="116">
        <v>81</v>
      </c>
      <c r="C78" s="76" t="str">
        <f t="shared" si="6"/>
        <v>H4</v>
      </c>
      <c r="D78" s="76">
        <v>39</v>
      </c>
      <c r="E78" s="42" t="s">
        <v>233</v>
      </c>
      <c r="F78" s="118"/>
      <c r="G78" s="76"/>
      <c r="H78" s="76" t="s">
        <v>244</v>
      </c>
      <c r="I78" s="119">
        <v>0</v>
      </c>
      <c r="J78" s="76"/>
      <c r="K78" s="120" t="e">
        <f>NA()</f>
        <v>#N/A</v>
      </c>
      <c r="L78" s="119">
        <v>0</v>
      </c>
      <c r="M78" s="42" t="s">
        <v>233</v>
      </c>
      <c r="N78" s="59"/>
      <c r="O78" s="59"/>
      <c r="P78" s="60" t="e">
        <f>VLOOKUP(E78,MBFormat!L150:M175,2,0)</f>
        <v>#N/A</v>
      </c>
      <c r="Q78" s="60" t="e">
        <f t="shared" si="8"/>
        <v>#N/A</v>
      </c>
    </row>
    <row r="79" spans="2:17" hidden="1">
      <c r="B79" s="116">
        <v>82</v>
      </c>
      <c r="C79" s="76" t="str">
        <f t="shared" si="6"/>
        <v>AA1</v>
      </c>
      <c r="D79" s="76">
        <v>39</v>
      </c>
      <c r="E79" s="42" t="s">
        <v>245</v>
      </c>
      <c r="F79" s="118"/>
      <c r="G79" s="76"/>
      <c r="H79" s="121" t="s">
        <v>195</v>
      </c>
      <c r="I79" s="119">
        <v>0</v>
      </c>
      <c r="J79" s="76"/>
      <c r="K79" s="120" t="e">
        <f>NA()</f>
        <v>#N/A</v>
      </c>
      <c r="L79" s="119">
        <v>0</v>
      </c>
      <c r="M79" s="42" t="s">
        <v>245</v>
      </c>
      <c r="N79" s="59"/>
      <c r="O79" s="59"/>
      <c r="P79" s="60" t="e">
        <f>VLOOKUP(E79,MBFormat!L151:M176,2,0)</f>
        <v>#N/A</v>
      </c>
      <c r="Q79" s="60" t="e">
        <f t="shared" si="8"/>
        <v>#N/A</v>
      </c>
    </row>
    <row r="80" spans="2:17" hidden="1">
      <c r="B80" s="116">
        <v>83</v>
      </c>
      <c r="C80" s="76" t="str">
        <f t="shared" si="6"/>
        <v>AA2</v>
      </c>
      <c r="D80" s="76">
        <v>39</v>
      </c>
      <c r="E80" s="42" t="s">
        <v>246</v>
      </c>
      <c r="F80" s="118"/>
      <c r="G80" s="76"/>
      <c r="H80" s="76" t="s">
        <v>247</v>
      </c>
      <c r="I80" s="119">
        <v>0</v>
      </c>
      <c r="J80" s="76"/>
      <c r="K80" s="120" t="e">
        <f>NA()</f>
        <v>#N/A</v>
      </c>
      <c r="L80" s="119">
        <v>0</v>
      </c>
      <c r="M80" s="42" t="s">
        <v>246</v>
      </c>
      <c r="N80" s="59"/>
      <c r="O80" s="59"/>
      <c r="P80" s="60" t="e">
        <f>VLOOKUP(E80,MBFormat!L152:M177,2,0)</f>
        <v>#N/A</v>
      </c>
      <c r="Q80" s="60" t="e">
        <f t="shared" si="8"/>
        <v>#N/A</v>
      </c>
    </row>
    <row r="81" spans="2:17" hidden="1">
      <c r="B81" s="116">
        <v>84</v>
      </c>
      <c r="C81" s="76" t="str">
        <f t="shared" si="6"/>
        <v>AA3</v>
      </c>
      <c r="D81" s="76">
        <v>39</v>
      </c>
      <c r="E81" s="42" t="s">
        <v>248</v>
      </c>
      <c r="F81" s="118"/>
      <c r="G81" s="76"/>
      <c r="H81" s="121" t="s">
        <v>195</v>
      </c>
      <c r="I81" s="119">
        <v>0</v>
      </c>
      <c r="J81" s="76"/>
      <c r="K81" s="120" t="e">
        <f>NA()</f>
        <v>#N/A</v>
      </c>
      <c r="L81" s="119">
        <v>0</v>
      </c>
      <c r="M81" s="42" t="s">
        <v>248</v>
      </c>
      <c r="N81" s="59"/>
      <c r="O81" s="59"/>
      <c r="P81" s="60" t="e">
        <f>VLOOKUP(E81,MBFormat!L153:M178,2,0)</f>
        <v>#N/A</v>
      </c>
      <c r="Q81" s="60" t="e">
        <f t="shared" si="8"/>
        <v>#N/A</v>
      </c>
    </row>
    <row r="82" spans="2:17" hidden="1">
      <c r="B82" s="116">
        <v>85</v>
      </c>
      <c r="C82" s="76" t="str">
        <f t="shared" si="6"/>
        <v>AA4</v>
      </c>
      <c r="D82" s="76">
        <v>39</v>
      </c>
      <c r="E82" s="42" t="s">
        <v>249</v>
      </c>
      <c r="F82" s="118"/>
      <c r="G82" s="76"/>
      <c r="H82" s="76" t="s">
        <v>250</v>
      </c>
      <c r="I82" s="119">
        <v>0</v>
      </c>
      <c r="J82" s="76"/>
      <c r="K82" s="120" t="e">
        <f>NA()</f>
        <v>#N/A</v>
      </c>
      <c r="L82" s="119">
        <v>0</v>
      </c>
      <c r="M82" s="42" t="s">
        <v>249</v>
      </c>
      <c r="N82" s="59"/>
      <c r="O82" s="59"/>
      <c r="P82" s="60" t="e">
        <f>VLOOKUP(E82,MBFormat!L154:M179,2,0)</f>
        <v>#N/A</v>
      </c>
      <c r="Q82" s="60" t="e">
        <f t="shared" si="8"/>
        <v>#N/A</v>
      </c>
    </row>
    <row r="83" spans="2:17" hidden="1">
      <c r="B83" s="116">
        <v>86</v>
      </c>
      <c r="C83" s="76" t="str">
        <f t="shared" si="6"/>
        <v>AB1</v>
      </c>
      <c r="D83" s="76">
        <v>39</v>
      </c>
      <c r="E83" s="42" t="s">
        <v>251</v>
      </c>
      <c r="F83" s="118"/>
      <c r="G83" s="76"/>
      <c r="H83" s="121" t="s">
        <v>195</v>
      </c>
      <c r="I83" s="119">
        <v>0</v>
      </c>
      <c r="J83" s="76"/>
      <c r="K83" s="120" t="e">
        <f>NA()</f>
        <v>#N/A</v>
      </c>
      <c r="L83" s="119">
        <v>0</v>
      </c>
      <c r="M83" s="42" t="s">
        <v>251</v>
      </c>
      <c r="N83" s="59"/>
      <c r="O83" s="59"/>
      <c r="P83" s="60" t="e">
        <f>VLOOKUP(E83,MBFormat!L155:M180,2,0)</f>
        <v>#N/A</v>
      </c>
      <c r="Q83" s="60" t="e">
        <f t="shared" si="8"/>
        <v>#N/A</v>
      </c>
    </row>
    <row r="84" spans="2:17" hidden="1">
      <c r="B84" s="116">
        <v>87</v>
      </c>
      <c r="C84" s="76" t="str">
        <f t="shared" si="6"/>
        <v>AB2</v>
      </c>
      <c r="D84" s="76">
        <v>39</v>
      </c>
      <c r="E84" s="42" t="s">
        <v>252</v>
      </c>
      <c r="F84" s="118"/>
      <c r="G84" s="76"/>
      <c r="H84" s="76" t="s">
        <v>253</v>
      </c>
      <c r="I84" s="119">
        <v>0</v>
      </c>
      <c r="J84" s="76"/>
      <c r="K84" s="120" t="e">
        <f>NA()</f>
        <v>#N/A</v>
      </c>
      <c r="L84" s="119">
        <v>0</v>
      </c>
      <c r="M84" s="42" t="s">
        <v>252</v>
      </c>
      <c r="N84" s="59"/>
      <c r="O84" s="59"/>
      <c r="P84" s="60" t="e">
        <f>VLOOKUP(E84,MBFormat!L156:M181,2,0)</f>
        <v>#N/A</v>
      </c>
      <c r="Q84" s="60" t="e">
        <f t="shared" si="8"/>
        <v>#N/A</v>
      </c>
    </row>
    <row r="85" spans="2:17" hidden="1">
      <c r="B85" s="116">
        <v>88</v>
      </c>
      <c r="C85" s="76" t="str">
        <f t="shared" si="6"/>
        <v>AB3</v>
      </c>
      <c r="D85" s="76">
        <v>39</v>
      </c>
      <c r="E85" s="42" t="s">
        <v>254</v>
      </c>
      <c r="F85" s="118"/>
      <c r="G85" s="76"/>
      <c r="H85" s="121" t="s">
        <v>195</v>
      </c>
      <c r="I85" s="119">
        <v>0</v>
      </c>
      <c r="J85" s="76"/>
      <c r="K85" s="120" t="e">
        <f>NA()</f>
        <v>#N/A</v>
      </c>
      <c r="L85" s="119">
        <v>0</v>
      </c>
      <c r="M85" s="42" t="s">
        <v>254</v>
      </c>
      <c r="N85" s="59"/>
      <c r="O85" s="59"/>
      <c r="P85" s="60" t="e">
        <f>VLOOKUP(E85,MBFormat!L157:M182,2,0)</f>
        <v>#N/A</v>
      </c>
      <c r="Q85" s="60" t="e">
        <f t="shared" si="8"/>
        <v>#N/A</v>
      </c>
    </row>
    <row r="86" spans="2:17" hidden="1">
      <c r="B86" s="116">
        <v>89</v>
      </c>
      <c r="C86" s="76">
        <f t="shared" ref="C86:C94" si="9">N86</f>
        <v>0</v>
      </c>
      <c r="D86" s="76">
        <v>39</v>
      </c>
      <c r="E86" s="42" t="s">
        <v>255</v>
      </c>
      <c r="F86" s="118"/>
      <c r="G86" s="76"/>
      <c r="H86" s="76" t="s">
        <v>256</v>
      </c>
      <c r="I86" s="119">
        <v>0</v>
      </c>
      <c r="J86" s="76"/>
      <c r="K86" s="120" t="e">
        <f>NA()</f>
        <v>#N/A</v>
      </c>
      <c r="L86" s="119">
        <v>0</v>
      </c>
      <c r="M86" s="42" t="s">
        <v>255</v>
      </c>
      <c r="N86" s="59"/>
      <c r="O86" s="59"/>
      <c r="P86" s="60" t="e">
        <f>VLOOKUP(E86,MBFormat!L158:M183,2,0)</f>
        <v>#N/A</v>
      </c>
      <c r="Q86" s="60" t="e">
        <f t="shared" si="8"/>
        <v>#N/A</v>
      </c>
    </row>
    <row r="87" spans="2:17" hidden="1">
      <c r="B87" s="116">
        <v>90</v>
      </c>
      <c r="C87" s="76">
        <f t="shared" si="9"/>
        <v>0</v>
      </c>
      <c r="D87" s="76">
        <v>39</v>
      </c>
      <c r="E87" s="42" t="s">
        <v>240</v>
      </c>
      <c r="F87" s="118"/>
      <c r="G87" s="76"/>
      <c r="H87" s="121" t="s">
        <v>195</v>
      </c>
      <c r="I87" s="119">
        <v>0</v>
      </c>
      <c r="J87" s="76"/>
      <c r="K87" s="120" t="e">
        <f>NA()</f>
        <v>#N/A</v>
      </c>
      <c r="L87" s="119">
        <v>0</v>
      </c>
      <c r="M87" s="42" t="s">
        <v>240</v>
      </c>
      <c r="N87" s="59"/>
      <c r="O87" s="59"/>
      <c r="P87" s="60" t="e">
        <f>VLOOKUP(E87,MBFormat!L159:M184,2,0)</f>
        <v>#N/A</v>
      </c>
      <c r="Q87" s="60" t="e">
        <f t="shared" si="8"/>
        <v>#N/A</v>
      </c>
    </row>
    <row r="88" spans="2:17" hidden="1">
      <c r="B88" s="116">
        <v>91</v>
      </c>
      <c r="C88" s="76">
        <f t="shared" si="9"/>
        <v>0</v>
      </c>
      <c r="D88" s="76">
        <v>39</v>
      </c>
      <c r="E88" s="42" t="s">
        <v>240</v>
      </c>
      <c r="F88" s="118"/>
      <c r="G88" s="76"/>
      <c r="H88" s="76" t="s">
        <v>257</v>
      </c>
      <c r="I88" s="119">
        <v>0</v>
      </c>
      <c r="J88" s="76"/>
      <c r="K88" s="120" t="e">
        <f>NA()</f>
        <v>#N/A</v>
      </c>
      <c r="L88" s="119">
        <v>0</v>
      </c>
      <c r="M88" s="42" t="s">
        <v>240</v>
      </c>
      <c r="N88" s="59"/>
      <c r="O88" s="59"/>
      <c r="P88" s="60" t="e">
        <f>VLOOKUP(E88,MBFormat!L160:M185,2,0)</f>
        <v>#N/A</v>
      </c>
      <c r="Q88" s="60" t="e">
        <f t="shared" si="8"/>
        <v>#N/A</v>
      </c>
    </row>
    <row r="89" spans="2:17" hidden="1">
      <c r="B89" s="116">
        <v>92</v>
      </c>
      <c r="C89" s="76">
        <f t="shared" si="9"/>
        <v>0</v>
      </c>
      <c r="D89" s="76">
        <v>39</v>
      </c>
      <c r="E89" s="42" t="s">
        <v>240</v>
      </c>
      <c r="F89" s="118"/>
      <c r="G89" s="76"/>
      <c r="H89" s="121" t="s">
        <v>195</v>
      </c>
      <c r="I89" s="119">
        <v>0</v>
      </c>
      <c r="J89" s="76"/>
      <c r="K89" s="120" t="e">
        <f>NA()</f>
        <v>#N/A</v>
      </c>
      <c r="L89" s="119">
        <v>0</v>
      </c>
      <c r="M89" s="42" t="s">
        <v>240</v>
      </c>
      <c r="N89" s="59"/>
      <c r="O89" s="59"/>
      <c r="P89" s="60" t="e">
        <f>VLOOKUP(E89,MBFormat!L161:M186,2,0)</f>
        <v>#N/A</v>
      </c>
      <c r="Q89" s="60" t="e">
        <f t="shared" si="8"/>
        <v>#N/A</v>
      </c>
    </row>
    <row r="90" spans="2:17" hidden="1">
      <c r="B90" s="116">
        <v>93</v>
      </c>
      <c r="C90" s="76">
        <f t="shared" si="9"/>
        <v>0</v>
      </c>
      <c r="D90" s="76">
        <v>39</v>
      </c>
      <c r="E90" s="42" t="s">
        <v>240</v>
      </c>
      <c r="F90" s="118"/>
      <c r="G90" s="76"/>
      <c r="H90" s="76" t="s">
        <v>258</v>
      </c>
      <c r="I90" s="119">
        <v>0</v>
      </c>
      <c r="J90" s="76"/>
      <c r="K90" s="120" t="e">
        <f>NA()</f>
        <v>#N/A</v>
      </c>
      <c r="L90" s="119">
        <v>0</v>
      </c>
      <c r="M90" s="42" t="s">
        <v>240</v>
      </c>
      <c r="N90" s="59"/>
      <c r="O90" s="59"/>
      <c r="P90" s="60" t="e">
        <f>VLOOKUP(E90,MBFormat!L162:M187,2,0)</f>
        <v>#N/A</v>
      </c>
      <c r="Q90" s="60" t="e">
        <f t="shared" si="8"/>
        <v>#N/A</v>
      </c>
    </row>
    <row r="91" spans="2:17" hidden="1">
      <c r="B91" s="116">
        <v>94</v>
      </c>
      <c r="C91" s="76">
        <f t="shared" si="9"/>
        <v>0</v>
      </c>
      <c r="D91" s="76">
        <v>39</v>
      </c>
      <c r="E91" s="42" t="s">
        <v>240</v>
      </c>
      <c r="F91" s="118"/>
      <c r="G91" s="76"/>
      <c r="H91" s="121" t="s">
        <v>195</v>
      </c>
      <c r="I91" s="119">
        <v>0</v>
      </c>
      <c r="J91" s="76"/>
      <c r="K91" s="120" t="e">
        <f>NA()</f>
        <v>#N/A</v>
      </c>
      <c r="L91" s="119">
        <v>0</v>
      </c>
      <c r="M91" s="42" t="s">
        <v>240</v>
      </c>
      <c r="N91" s="59"/>
      <c r="O91" s="59"/>
      <c r="P91" s="60" t="e">
        <f>VLOOKUP(E91,MBFormat!L163:M188,2,0)</f>
        <v>#N/A</v>
      </c>
      <c r="Q91" s="60" t="e">
        <f t="shared" si="8"/>
        <v>#N/A</v>
      </c>
    </row>
    <row r="92" spans="2:17" hidden="1">
      <c r="B92" s="116">
        <v>95</v>
      </c>
      <c r="C92" s="76">
        <f t="shared" si="9"/>
        <v>0</v>
      </c>
      <c r="D92" s="76">
        <v>39</v>
      </c>
      <c r="E92" s="42" t="s">
        <v>240</v>
      </c>
      <c r="F92" s="118"/>
      <c r="G92" s="76"/>
      <c r="H92" s="76" t="s">
        <v>259</v>
      </c>
      <c r="I92" s="119">
        <v>0</v>
      </c>
      <c r="J92" s="76"/>
      <c r="K92" s="120" t="e">
        <f>NA()</f>
        <v>#N/A</v>
      </c>
      <c r="L92" s="119">
        <v>0</v>
      </c>
      <c r="M92" s="42" t="s">
        <v>240</v>
      </c>
      <c r="N92" s="59"/>
      <c r="O92" s="59"/>
      <c r="P92" s="60" t="e">
        <f>VLOOKUP(E92,MBFormat!L164:M189,2,0)</f>
        <v>#N/A</v>
      </c>
      <c r="Q92" s="60" t="e">
        <f t="shared" si="8"/>
        <v>#N/A</v>
      </c>
    </row>
    <row r="93" spans="2:17" hidden="1">
      <c r="C93" s="29">
        <f t="shared" si="9"/>
        <v>0</v>
      </c>
      <c r="E93" s="122" t="s">
        <v>240</v>
      </c>
      <c r="M93" s="122" t="s">
        <v>240</v>
      </c>
      <c r="P93" s="60" t="e">
        <f>VLOOKUP(E93,MBFormat!L165:M190,2,0)</f>
        <v>#N/A</v>
      </c>
      <c r="Q93" s="60" t="e">
        <f t="shared" si="8"/>
        <v>#N/A</v>
      </c>
    </row>
    <row r="94" spans="2:17" hidden="1">
      <c r="B94" s="123">
        <v>88</v>
      </c>
      <c r="C94" s="76">
        <f t="shared" si="9"/>
        <v>0</v>
      </c>
      <c r="D94" s="76">
        <v>40</v>
      </c>
      <c r="E94" s="42" t="s">
        <v>260</v>
      </c>
      <c r="F94" s="118"/>
      <c r="G94" s="76"/>
      <c r="H94" s="92" t="s">
        <v>261</v>
      </c>
      <c r="I94" s="119">
        <v>1</v>
      </c>
      <c r="J94" s="76"/>
      <c r="K94" s="124" t="s">
        <v>195</v>
      </c>
      <c r="L94" s="119">
        <v>1</v>
      </c>
      <c r="M94" s="42" t="s">
        <v>260</v>
      </c>
      <c r="N94" s="49"/>
      <c r="O94" s="59"/>
      <c r="P94" s="60" t="e">
        <f>VLOOKUP(E94,MBFormat!L166:M191,2,0)</f>
        <v>#N/A</v>
      </c>
      <c r="Q94" s="60" t="e">
        <f t="shared" si="8"/>
        <v>#N/A</v>
      </c>
    </row>
    <row r="95" spans="2:17">
      <c r="B95" s="125"/>
      <c r="H95" s="125"/>
      <c r="K95" s="125"/>
      <c r="M95" s="126"/>
      <c r="N95" s="127"/>
    </row>
  </sheetData>
  <printOptions horizontalCentered="1"/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18"/>
  <sheetViews>
    <sheetView topLeftCell="A27" zoomScale="75" zoomScaleNormal="75" workbookViewId="0">
      <selection activeCell="D67" sqref="D67"/>
    </sheetView>
  </sheetViews>
  <sheetFormatPr defaultRowHeight="17.25"/>
  <cols>
    <col min="1" max="1" width="3.33203125" style="128" customWidth="1"/>
    <col min="2" max="2" width="22" style="128" customWidth="1"/>
    <col min="3" max="3" width="15.77734375" style="128" customWidth="1"/>
    <col min="4" max="4" width="15.77734375" style="129" customWidth="1"/>
    <col min="5" max="5" width="15.77734375" style="128" customWidth="1"/>
    <col min="6" max="6" width="15.77734375" style="130" customWidth="1"/>
    <col min="7" max="9" width="15.77734375" style="128" customWidth="1"/>
    <col min="10" max="10" width="15.77734375" style="130" customWidth="1"/>
    <col min="11" max="11" width="11" style="128" hidden="1" customWidth="1"/>
    <col min="12" max="12" width="23.5546875" style="128" hidden="1" customWidth="1"/>
    <col min="13" max="14" width="11" style="128" hidden="1" customWidth="1"/>
    <col min="15" max="15" width="11" style="128" customWidth="1"/>
    <col min="16" max="16" width="11.77734375" style="128" customWidth="1"/>
    <col min="17" max="1025" width="7.6640625" style="128" customWidth="1"/>
  </cols>
  <sheetData>
    <row r="1" spans="2:18">
      <c r="B1" s="131" t="s">
        <v>262</v>
      </c>
      <c r="C1" s="132"/>
      <c r="D1" s="133"/>
      <c r="E1" s="134"/>
    </row>
    <row r="2" spans="2:18">
      <c r="B2" s="131"/>
      <c r="C2" s="132"/>
      <c r="D2" s="133"/>
      <c r="E2" s="134"/>
    </row>
    <row r="3" spans="2:18">
      <c r="B3" s="131" t="s">
        <v>263</v>
      </c>
      <c r="C3" s="132"/>
      <c r="D3" s="133"/>
      <c r="E3" s="134"/>
    </row>
    <row r="4" spans="2:18">
      <c r="B4" s="131" t="s">
        <v>264</v>
      </c>
      <c r="C4" s="132"/>
      <c r="D4" s="133"/>
      <c r="E4" s="134"/>
    </row>
    <row r="5" spans="2:18">
      <c r="B5" s="135" t="s">
        <v>265</v>
      </c>
      <c r="C5" s="136"/>
      <c r="D5" s="137"/>
      <c r="E5" s="138"/>
      <c r="F5" s="139"/>
      <c r="G5" s="140"/>
      <c r="H5" s="140"/>
      <c r="I5" s="140"/>
    </row>
    <row r="6" spans="2:18">
      <c r="B6" s="135"/>
      <c r="C6" s="136"/>
      <c r="D6" s="137"/>
      <c r="E6" s="138"/>
      <c r="F6" s="139"/>
      <c r="G6" s="140"/>
      <c r="H6" s="140"/>
      <c r="I6" s="140"/>
    </row>
    <row r="7" spans="2:18">
      <c r="B7" s="141"/>
      <c r="C7" s="142" t="s">
        <v>266</v>
      </c>
      <c r="D7" s="142" t="s">
        <v>267</v>
      </c>
      <c r="E7" s="142" t="s">
        <v>268</v>
      </c>
      <c r="F7" s="143" t="s">
        <v>269</v>
      </c>
      <c r="G7" s="142" t="s">
        <v>270</v>
      </c>
      <c r="H7" s="142" t="s">
        <v>271</v>
      </c>
      <c r="I7" s="142" t="s">
        <v>272</v>
      </c>
      <c r="J7" s="143" t="s">
        <v>273</v>
      </c>
      <c r="K7" s="129"/>
      <c r="P7" s="129"/>
      <c r="Q7" s="129"/>
      <c r="R7" s="129"/>
    </row>
    <row r="8" spans="2:18">
      <c r="B8" s="144"/>
      <c r="C8" s="145" t="s">
        <v>274</v>
      </c>
      <c r="D8" s="145" t="s">
        <v>275</v>
      </c>
      <c r="E8" s="145" t="s">
        <v>276</v>
      </c>
      <c r="F8" s="146" t="s">
        <v>277</v>
      </c>
      <c r="G8" s="145" t="s">
        <v>278</v>
      </c>
      <c r="H8" s="145" t="s">
        <v>279</v>
      </c>
      <c r="I8" s="145" t="s">
        <v>280</v>
      </c>
      <c r="J8" s="146" t="s">
        <v>281</v>
      </c>
    </row>
    <row r="9" spans="2:18">
      <c r="B9" s="144"/>
      <c r="C9" s="145" t="s">
        <v>282</v>
      </c>
      <c r="D9" s="145" t="s">
        <v>283</v>
      </c>
      <c r="E9" s="145" t="s">
        <v>284</v>
      </c>
      <c r="F9" s="146" t="s">
        <v>285</v>
      </c>
      <c r="G9" s="145" t="s">
        <v>286</v>
      </c>
      <c r="H9" s="145" t="s">
        <v>287</v>
      </c>
      <c r="I9" s="145" t="s">
        <v>288</v>
      </c>
      <c r="J9" s="146" t="s">
        <v>289</v>
      </c>
    </row>
    <row r="10" spans="2:18">
      <c r="B10" s="144"/>
      <c r="C10" s="145" t="s">
        <v>290</v>
      </c>
      <c r="D10" s="145" t="s">
        <v>291</v>
      </c>
      <c r="E10" s="145" t="s">
        <v>292</v>
      </c>
      <c r="F10" s="146" t="s">
        <v>293</v>
      </c>
      <c r="G10" s="145" t="s">
        <v>294</v>
      </c>
      <c r="H10" s="145" t="s">
        <v>295</v>
      </c>
      <c r="I10" s="145" t="s">
        <v>296</v>
      </c>
      <c r="J10" s="146" t="s">
        <v>297</v>
      </c>
    </row>
    <row r="11" spans="2:18">
      <c r="B11" s="144"/>
      <c r="C11" s="145" t="s">
        <v>298</v>
      </c>
      <c r="D11" s="145" t="s">
        <v>299</v>
      </c>
      <c r="E11" s="145" t="s">
        <v>300</v>
      </c>
      <c r="F11" s="146" t="s">
        <v>301</v>
      </c>
      <c r="G11" s="145" t="s">
        <v>302</v>
      </c>
      <c r="H11" s="145" t="s">
        <v>303</v>
      </c>
      <c r="I11" s="145" t="s">
        <v>304</v>
      </c>
      <c r="J11" s="146" t="s">
        <v>305</v>
      </c>
    </row>
    <row r="12" spans="2:18">
      <c r="B12" s="147"/>
      <c r="C12" s="129"/>
      <c r="E12" s="129"/>
      <c r="G12" s="129"/>
      <c r="H12" s="129"/>
      <c r="I12" s="129"/>
    </row>
    <row r="13" spans="2:18">
      <c r="B13" s="147"/>
      <c r="C13" s="144"/>
      <c r="D13" s="144"/>
      <c r="E13" s="144"/>
      <c r="F13" s="148"/>
      <c r="G13" s="144"/>
      <c r="H13" s="144"/>
      <c r="I13" s="144"/>
      <c r="J13" s="148"/>
    </row>
    <row r="14" spans="2:18">
      <c r="B14" s="147"/>
      <c r="C14" s="144"/>
      <c r="D14" s="144"/>
      <c r="E14" s="144"/>
      <c r="F14" s="148"/>
      <c r="G14" s="144"/>
      <c r="H14" s="144"/>
      <c r="I14" s="144"/>
      <c r="J14" s="148"/>
    </row>
    <row r="15" spans="2:18">
      <c r="B15" s="129"/>
      <c r="C15" s="144"/>
      <c r="D15" s="144"/>
      <c r="E15" s="144"/>
      <c r="F15" s="148"/>
      <c r="G15" s="144"/>
      <c r="H15" s="144"/>
      <c r="I15" s="144"/>
      <c r="J15" s="148"/>
    </row>
    <row r="16" spans="2:18">
      <c r="B16" s="149"/>
      <c r="D16" s="128"/>
    </row>
    <row r="17" spans="2:15">
      <c r="B17" s="150" t="s">
        <v>306</v>
      </c>
      <c r="C17" s="140"/>
      <c r="D17" s="151"/>
      <c r="E17" s="140"/>
      <c r="F17" s="139"/>
      <c r="G17" s="140"/>
    </row>
    <row r="18" spans="2:15">
      <c r="B18" s="150" t="s">
        <v>307</v>
      </c>
      <c r="C18" s="140"/>
      <c r="D18" s="151"/>
      <c r="E18" s="140"/>
      <c r="F18" s="139"/>
      <c r="G18" s="140"/>
    </row>
    <row r="19" spans="2:15">
      <c r="B19" s="150" t="s">
        <v>308</v>
      </c>
      <c r="C19" s="140"/>
      <c r="D19" s="151"/>
      <c r="E19" s="140"/>
      <c r="F19" s="139"/>
      <c r="G19" s="140"/>
    </row>
    <row r="21" spans="2:15">
      <c r="B21" s="131" t="s">
        <v>309</v>
      </c>
      <c r="D21" s="128"/>
    </row>
    <row r="22" spans="2:15">
      <c r="D22" s="128"/>
    </row>
    <row r="23" spans="2:15">
      <c r="B23" s="152" t="str">
        <f>男乙賽程!R7</f>
        <v>Alps LC</v>
      </c>
      <c r="C23" s="153" t="s">
        <v>71</v>
      </c>
      <c r="D23" s="128"/>
    </row>
    <row r="24" spans="2:15">
      <c r="C24" s="154" t="s">
        <v>310</v>
      </c>
      <c r="D24" s="155"/>
      <c r="E24" s="156"/>
      <c r="F24" s="157"/>
      <c r="G24" s="156"/>
      <c r="H24" s="156"/>
      <c r="I24" s="156"/>
      <c r="J24" s="157"/>
    </row>
    <row r="25" spans="2:15" ht="18">
      <c r="C25" s="158" t="s">
        <v>311</v>
      </c>
      <c r="D25" s="159" t="str">
        <f>B23</f>
        <v>Alps LC</v>
      </c>
      <c r="E25" s="160"/>
      <c r="F25" s="161"/>
      <c r="G25" s="162"/>
      <c r="H25" s="162"/>
      <c r="I25" s="162"/>
      <c r="J25" s="157"/>
      <c r="L25" s="163"/>
    </row>
    <row r="26" spans="2:15" ht="18">
      <c r="B26" s="152" t="str">
        <f>B76</f>
        <v>熱情的麻鷹</v>
      </c>
      <c r="C26" s="164"/>
      <c r="D26" s="154"/>
      <c r="E26" s="165"/>
      <c r="F26" s="161"/>
      <c r="G26" s="162"/>
      <c r="H26" s="162"/>
      <c r="I26" s="162"/>
      <c r="J26" s="157"/>
      <c r="M26" s="166"/>
      <c r="N26" s="167"/>
      <c r="O26" s="168"/>
    </row>
    <row r="27" spans="2:15">
      <c r="C27" s="156"/>
      <c r="D27" s="154" t="s">
        <v>312</v>
      </c>
      <c r="E27" s="162"/>
      <c r="F27" s="169" t="str">
        <f>D25</f>
        <v>Alps LC</v>
      </c>
      <c r="G27" s="162"/>
      <c r="H27" s="162"/>
      <c r="I27" s="162"/>
      <c r="J27" s="157"/>
      <c r="O27" s="168"/>
    </row>
    <row r="28" spans="2:15">
      <c r="B28" s="170"/>
      <c r="C28" s="156"/>
      <c r="D28" s="171" t="s">
        <v>313</v>
      </c>
      <c r="E28" s="162"/>
      <c r="F28" s="172"/>
      <c r="G28" s="162"/>
      <c r="H28" s="162"/>
      <c r="I28" s="162"/>
      <c r="J28" s="157"/>
      <c r="O28" s="168"/>
    </row>
    <row r="29" spans="2:15" ht="18">
      <c r="B29" s="152" t="str">
        <f>B75</f>
        <v>三局專家</v>
      </c>
      <c r="C29" s="173"/>
      <c r="D29" s="174"/>
      <c r="E29" s="160"/>
      <c r="F29" s="172"/>
      <c r="G29" s="175"/>
      <c r="H29" s="162"/>
      <c r="I29" s="162"/>
      <c r="J29" s="157"/>
      <c r="O29" s="168"/>
    </row>
    <row r="30" spans="2:15">
      <c r="B30" s="176"/>
      <c r="C30" s="154" t="s">
        <v>314</v>
      </c>
      <c r="D30" s="159" t="str">
        <f>B29</f>
        <v>三局專家</v>
      </c>
      <c r="E30" s="177"/>
      <c r="F30" s="172"/>
      <c r="G30" s="175"/>
      <c r="H30" s="162"/>
      <c r="I30" s="162"/>
      <c r="J30" s="157"/>
      <c r="O30" s="168"/>
    </row>
    <row r="31" spans="2:15">
      <c r="C31" s="178" t="s">
        <v>315</v>
      </c>
      <c r="D31" s="160"/>
      <c r="E31" s="160"/>
      <c r="F31" s="172"/>
      <c r="G31" s="175"/>
      <c r="H31" s="162"/>
      <c r="I31" s="162"/>
      <c r="J31" s="157"/>
      <c r="K31" s="179" t="s">
        <v>316</v>
      </c>
      <c r="L31" s="129">
        <f>J46</f>
        <v>0</v>
      </c>
      <c r="M31" s="180">
        <v>120</v>
      </c>
      <c r="N31" s="129" t="s">
        <v>317</v>
      </c>
      <c r="O31" s="168"/>
    </row>
    <row r="32" spans="2:15">
      <c r="B32" s="152" t="str">
        <f>男乙賽程!R31</f>
        <v>小矮人</v>
      </c>
      <c r="C32" s="181" t="s">
        <v>95</v>
      </c>
      <c r="D32" s="160"/>
      <c r="E32" s="182"/>
      <c r="F32" s="183" t="s">
        <v>318</v>
      </c>
      <c r="G32" s="182"/>
      <c r="H32" s="162"/>
      <c r="I32" s="162"/>
      <c r="J32" s="157"/>
      <c r="K32" s="179" t="s">
        <v>319</v>
      </c>
      <c r="L32" s="129">
        <f>H38</f>
        <v>0</v>
      </c>
      <c r="M32" s="180">
        <v>108</v>
      </c>
      <c r="N32" s="129" t="s">
        <v>317</v>
      </c>
      <c r="O32" s="168"/>
    </row>
    <row r="33" spans="2:15" ht="18">
      <c r="C33" s="156"/>
      <c r="D33" s="160"/>
      <c r="E33" s="160"/>
      <c r="F33" s="184"/>
      <c r="G33" s="156"/>
      <c r="H33" s="156"/>
      <c r="I33" s="156"/>
      <c r="J33" s="157"/>
      <c r="K33" s="179" t="s">
        <v>320</v>
      </c>
      <c r="L33" s="129">
        <f>J67</f>
        <v>0</v>
      </c>
      <c r="M33" s="180">
        <v>96</v>
      </c>
      <c r="N33" s="129" t="s">
        <v>317</v>
      </c>
      <c r="O33" s="163"/>
    </row>
    <row r="34" spans="2:15">
      <c r="B34" s="185"/>
      <c r="C34" s="186"/>
      <c r="D34" s="160"/>
      <c r="E34" s="160"/>
      <c r="F34" s="174"/>
      <c r="G34" s="156"/>
      <c r="H34" s="156"/>
      <c r="I34" s="156"/>
      <c r="J34" s="157"/>
      <c r="K34" s="179" t="s">
        <v>321</v>
      </c>
      <c r="L34" s="129">
        <f>H70</f>
        <v>0</v>
      </c>
      <c r="M34" s="180">
        <v>84</v>
      </c>
      <c r="N34" s="129" t="s">
        <v>317</v>
      </c>
      <c r="O34" s="168"/>
    </row>
    <row r="35" spans="2:15">
      <c r="B35" s="187" t="str">
        <f>男乙賽程!R49</f>
        <v>For&amp;Ray</v>
      </c>
      <c r="C35" s="188" t="s">
        <v>113</v>
      </c>
      <c r="D35" s="182"/>
      <c r="E35" s="162"/>
      <c r="F35" s="172"/>
      <c r="G35" s="156"/>
      <c r="H35" s="156"/>
      <c r="I35" s="156"/>
      <c r="J35" s="157"/>
      <c r="K35" s="179" t="s">
        <v>322</v>
      </c>
      <c r="L35" s="129" t="str">
        <f>D30</f>
        <v>三局專家</v>
      </c>
      <c r="M35" s="180">
        <v>72</v>
      </c>
      <c r="N35" s="129" t="s">
        <v>317</v>
      </c>
      <c r="O35" s="168"/>
    </row>
    <row r="36" spans="2:15">
      <c r="C36" s="154" t="s">
        <v>323</v>
      </c>
      <c r="D36" s="189"/>
      <c r="E36" s="162"/>
      <c r="F36" s="172"/>
      <c r="G36" s="156"/>
      <c r="H36" s="156"/>
      <c r="I36" s="156"/>
      <c r="J36" s="157"/>
      <c r="K36" s="129"/>
      <c r="L36" s="129" t="str">
        <f>D44</f>
        <v>King Kong</v>
      </c>
      <c r="M36" s="180">
        <v>72</v>
      </c>
      <c r="N36" s="129" t="s">
        <v>317</v>
      </c>
      <c r="O36" s="168"/>
    </row>
    <row r="37" spans="2:15">
      <c r="C37" s="190" t="s">
        <v>324</v>
      </c>
      <c r="D37" s="191" t="str">
        <f>B38</f>
        <v>ALPS_我要買Type R</v>
      </c>
      <c r="E37" s="160"/>
      <c r="F37" s="172"/>
      <c r="G37" s="156"/>
      <c r="H37" s="192"/>
      <c r="I37" s="156"/>
      <c r="J37" s="157"/>
      <c r="K37" s="179"/>
      <c r="L37" s="129" t="str">
        <f>D56</f>
        <v>華青</v>
      </c>
      <c r="M37" s="180">
        <v>72</v>
      </c>
      <c r="N37" s="129" t="s">
        <v>317</v>
      </c>
      <c r="O37" s="168"/>
    </row>
    <row r="38" spans="2:15" ht="18">
      <c r="B38" s="152" t="str">
        <f>B79</f>
        <v>ALPS_我要買Type R</v>
      </c>
      <c r="C38" s="193"/>
      <c r="D38" s="194"/>
      <c r="E38" s="160"/>
      <c r="F38" s="172"/>
      <c r="G38" s="195"/>
      <c r="H38" s="196"/>
      <c r="I38" s="162"/>
      <c r="J38" s="157"/>
      <c r="K38" s="179"/>
      <c r="L38" s="129" t="str">
        <f>D68</f>
        <v>SCAA K&amp;L</v>
      </c>
      <c r="M38" s="180">
        <v>72</v>
      </c>
      <c r="N38" s="129" t="s">
        <v>317</v>
      </c>
      <c r="O38" s="168"/>
    </row>
    <row r="39" spans="2:15">
      <c r="C39" s="156"/>
      <c r="D39" s="154"/>
      <c r="E39" s="197"/>
      <c r="F39" s="169" t="str">
        <f>D37</f>
        <v>ALPS_我要買Type R</v>
      </c>
      <c r="G39" s="175"/>
      <c r="H39" s="172"/>
      <c r="I39" s="162"/>
      <c r="J39" s="157"/>
      <c r="K39" s="179" t="s">
        <v>325</v>
      </c>
      <c r="L39" s="129" t="str">
        <f>B26</f>
        <v>熱情的麻鷹</v>
      </c>
      <c r="M39" s="180">
        <v>54</v>
      </c>
      <c r="N39" s="129" t="s">
        <v>317</v>
      </c>
      <c r="O39" s="168"/>
    </row>
    <row r="40" spans="2:15">
      <c r="C40" s="156"/>
      <c r="D40" s="154" t="s">
        <v>326</v>
      </c>
      <c r="E40" s="160"/>
      <c r="F40" s="161"/>
      <c r="G40" s="162"/>
      <c r="H40" s="172"/>
      <c r="I40" s="162"/>
      <c r="J40" s="157"/>
      <c r="K40" s="179"/>
      <c r="L40" s="129" t="str">
        <f>B32</f>
        <v>小矮人</v>
      </c>
      <c r="M40" s="180">
        <v>54</v>
      </c>
      <c r="N40" s="129" t="s">
        <v>317</v>
      </c>
      <c r="O40" s="168"/>
    </row>
    <row r="41" spans="2:15">
      <c r="C41" s="156"/>
      <c r="D41" s="171" t="s">
        <v>327</v>
      </c>
      <c r="E41" s="160"/>
      <c r="F41" s="161"/>
      <c r="G41" s="162"/>
      <c r="H41" s="172"/>
      <c r="I41" s="162"/>
      <c r="J41" s="157"/>
      <c r="K41" s="179"/>
      <c r="L41" s="129" t="str">
        <f>B38</f>
        <v>ALPS_我要買Type R</v>
      </c>
      <c r="M41" s="180">
        <v>54</v>
      </c>
      <c r="N41" s="129" t="s">
        <v>317</v>
      </c>
      <c r="O41" s="168"/>
    </row>
    <row r="42" spans="2:15">
      <c r="C42" s="198"/>
      <c r="D42" s="174"/>
      <c r="E42" s="160"/>
      <c r="F42" s="161"/>
      <c r="G42" s="162"/>
      <c r="H42" s="172"/>
      <c r="I42" s="162"/>
      <c r="J42" s="157"/>
      <c r="K42" s="179"/>
      <c r="L42" s="129" t="str">
        <f>B46</f>
        <v>King Kong</v>
      </c>
      <c r="M42" s="180">
        <v>54</v>
      </c>
      <c r="N42" s="129" t="s">
        <v>317</v>
      </c>
      <c r="O42" s="168"/>
    </row>
    <row r="43" spans="2:15" ht="18">
      <c r="B43" s="152" t="str">
        <f>B80</f>
        <v>瘸左瘸埋右</v>
      </c>
      <c r="C43" s="173"/>
      <c r="D43" s="174"/>
      <c r="E43" s="160"/>
      <c r="F43" s="161"/>
      <c r="G43" s="162"/>
      <c r="H43" s="172"/>
      <c r="I43" s="162"/>
      <c r="J43" s="157"/>
      <c r="K43" s="129"/>
      <c r="L43" s="129" t="str">
        <f>B52</f>
        <v>我叫你</v>
      </c>
      <c r="M43" s="180">
        <v>54</v>
      </c>
      <c r="N43" s="129" t="s">
        <v>317</v>
      </c>
      <c r="O43" s="168"/>
    </row>
    <row r="44" spans="2:15">
      <c r="C44" s="154" t="s">
        <v>328</v>
      </c>
      <c r="D44" s="191" t="str">
        <f>B46</f>
        <v>King Kong</v>
      </c>
      <c r="E44" s="160"/>
      <c r="F44" s="161"/>
      <c r="G44" s="162"/>
      <c r="H44" s="172"/>
      <c r="I44" s="162"/>
      <c r="J44" s="157"/>
      <c r="K44" s="129"/>
      <c r="L44" s="129" t="str">
        <f>B55</f>
        <v>SKTL</v>
      </c>
      <c r="M44" s="180">
        <v>54</v>
      </c>
      <c r="N44" s="129" t="s">
        <v>317</v>
      </c>
      <c r="O44" s="168"/>
    </row>
    <row r="45" spans="2:15" ht="15.75" customHeight="1">
      <c r="B45" s="129"/>
      <c r="C45" s="178" t="s">
        <v>329</v>
      </c>
      <c r="D45" s="160"/>
      <c r="E45" s="160"/>
      <c r="F45" s="161"/>
      <c r="G45" s="162"/>
      <c r="H45" s="172"/>
      <c r="I45" s="162"/>
      <c r="J45" s="199"/>
      <c r="K45" s="129"/>
      <c r="L45" s="129" t="str">
        <f>B61</f>
        <v>消防處</v>
      </c>
      <c r="M45" s="180">
        <v>54</v>
      </c>
      <c r="N45" s="129" t="s">
        <v>317</v>
      </c>
      <c r="O45" s="168"/>
    </row>
    <row r="46" spans="2:15" ht="15.75" customHeight="1">
      <c r="B46" s="200" t="str">
        <f>男乙賽程!R25</f>
        <v>King Kong</v>
      </c>
      <c r="C46" s="181" t="s">
        <v>89</v>
      </c>
      <c r="D46" s="182"/>
      <c r="E46" s="162"/>
      <c r="F46" s="161"/>
      <c r="G46" s="156"/>
      <c r="H46" s="201"/>
      <c r="I46" s="202" t="s">
        <v>330</v>
      </c>
      <c r="J46" s="196"/>
      <c r="K46" s="129"/>
      <c r="L46" s="129" t="str">
        <f>B67</f>
        <v>撈碧鵰</v>
      </c>
      <c r="M46" s="129">
        <v>54</v>
      </c>
      <c r="N46" s="129" t="s">
        <v>317</v>
      </c>
      <c r="O46" s="168"/>
    </row>
    <row r="47" spans="2:15">
      <c r="B47" s="129"/>
      <c r="C47" s="156"/>
      <c r="D47" s="160"/>
      <c r="E47" s="160"/>
      <c r="F47" s="161"/>
      <c r="G47" s="156"/>
      <c r="H47" s="203"/>
      <c r="I47" s="204" t="s">
        <v>331</v>
      </c>
      <c r="J47" s="205"/>
      <c r="K47" s="129" t="s">
        <v>332</v>
      </c>
      <c r="L47" s="129" t="s">
        <v>333</v>
      </c>
      <c r="M47" s="129">
        <v>48</v>
      </c>
      <c r="N47" s="129" t="s">
        <v>317</v>
      </c>
      <c r="O47" s="168"/>
    </row>
    <row r="48" spans="2:15">
      <c r="C48" s="186"/>
      <c r="D48" s="160"/>
      <c r="E48" s="177"/>
      <c r="F48" s="161"/>
      <c r="G48" s="206"/>
      <c r="H48" s="172"/>
      <c r="I48" s="206"/>
      <c r="J48" s="157"/>
      <c r="K48" s="129"/>
      <c r="L48" s="129" t="s">
        <v>114</v>
      </c>
      <c r="M48" s="129">
        <v>48</v>
      </c>
      <c r="N48" s="129" t="s">
        <v>317</v>
      </c>
      <c r="O48" s="168"/>
    </row>
    <row r="49" spans="2:15">
      <c r="B49" s="200" t="str">
        <f>男乙賽程!R19</f>
        <v>Alps Handshake</v>
      </c>
      <c r="C49" s="188" t="s">
        <v>83</v>
      </c>
      <c r="D49" s="156"/>
      <c r="E49" s="156"/>
      <c r="F49" s="157"/>
      <c r="G49" s="162"/>
      <c r="H49" s="172"/>
      <c r="I49" s="162"/>
      <c r="J49" s="157"/>
      <c r="K49" s="129"/>
      <c r="L49" s="129" t="s">
        <v>334</v>
      </c>
      <c r="M49" s="129">
        <v>48</v>
      </c>
      <c r="N49" s="129" t="s">
        <v>317</v>
      </c>
      <c r="O49" s="168"/>
    </row>
    <row r="50" spans="2:15">
      <c r="C50" s="154" t="s">
        <v>335</v>
      </c>
      <c r="D50" s="156"/>
      <c r="E50" s="156"/>
      <c r="F50" s="157"/>
      <c r="G50" s="162"/>
      <c r="H50" s="172"/>
      <c r="I50" s="162"/>
      <c r="J50" s="157"/>
      <c r="K50" s="129"/>
      <c r="L50" s="129" t="s">
        <v>336</v>
      </c>
      <c r="M50" s="129">
        <v>48</v>
      </c>
      <c r="N50" s="129" t="s">
        <v>317</v>
      </c>
    </row>
    <row r="51" spans="2:15">
      <c r="C51" s="178" t="s">
        <v>337</v>
      </c>
      <c r="D51" s="191" t="str">
        <f>B49</f>
        <v>Alps Handshake</v>
      </c>
      <c r="E51" s="160"/>
      <c r="F51" s="161"/>
      <c r="G51" s="162"/>
      <c r="H51" s="172"/>
      <c r="I51" s="162"/>
      <c r="J51" s="157"/>
      <c r="K51" s="129"/>
      <c r="L51" s="129" t="s">
        <v>338</v>
      </c>
      <c r="M51" s="129">
        <v>48</v>
      </c>
      <c r="N51" s="129" t="s">
        <v>317</v>
      </c>
    </row>
    <row r="52" spans="2:15">
      <c r="B52" s="152" t="str">
        <f>B77</f>
        <v>我叫你</v>
      </c>
      <c r="C52" s="181"/>
      <c r="D52" s="174"/>
      <c r="E52" s="165"/>
      <c r="F52" s="161"/>
      <c r="G52" s="162"/>
      <c r="H52" s="172"/>
      <c r="I52" s="162"/>
      <c r="J52" s="157"/>
      <c r="K52" s="129" t="s">
        <v>339</v>
      </c>
      <c r="L52" s="129" t="s">
        <v>340</v>
      </c>
      <c r="M52" s="129">
        <v>36</v>
      </c>
      <c r="N52" s="129" t="s">
        <v>317</v>
      </c>
      <c r="O52" s="168"/>
    </row>
    <row r="53" spans="2:15">
      <c r="C53" s="156"/>
      <c r="D53" s="154" t="s">
        <v>341</v>
      </c>
      <c r="E53" s="162"/>
      <c r="F53" s="169" t="str">
        <f>D51</f>
        <v>Alps Handshake</v>
      </c>
      <c r="G53" s="162"/>
      <c r="H53" s="172"/>
      <c r="I53" s="162"/>
      <c r="J53" s="157"/>
      <c r="K53" s="129" t="s">
        <v>342</v>
      </c>
      <c r="L53" s="129" t="s">
        <v>343</v>
      </c>
      <c r="M53" s="129">
        <v>0</v>
      </c>
      <c r="N53" s="129" t="s">
        <v>317</v>
      </c>
      <c r="O53" s="168"/>
    </row>
    <row r="54" spans="2:15">
      <c r="C54" s="156"/>
      <c r="D54" s="207" t="s">
        <v>344</v>
      </c>
      <c r="E54" s="162"/>
      <c r="F54" s="172"/>
      <c r="G54" s="162"/>
      <c r="H54" s="172"/>
      <c r="I54" s="162"/>
      <c r="J54" s="157"/>
      <c r="K54" s="129"/>
      <c r="L54" s="129" t="s">
        <v>345</v>
      </c>
      <c r="M54" s="129">
        <v>0</v>
      </c>
      <c r="N54" s="129" t="s">
        <v>317</v>
      </c>
      <c r="O54" s="168"/>
    </row>
    <row r="55" spans="2:15" ht="18">
      <c r="B55" s="152" t="str">
        <f>B78</f>
        <v>SKTL</v>
      </c>
      <c r="C55" s="173"/>
      <c r="D55" s="208"/>
      <c r="E55" s="160"/>
      <c r="F55" s="172"/>
      <c r="G55" s="202"/>
      <c r="H55" s="196"/>
      <c r="I55" s="162"/>
      <c r="J55" s="157"/>
      <c r="K55" s="129"/>
      <c r="L55" s="129" t="s">
        <v>346</v>
      </c>
      <c r="M55" s="129">
        <v>0</v>
      </c>
      <c r="N55" s="129" t="s">
        <v>317</v>
      </c>
      <c r="O55" s="168"/>
    </row>
    <row r="56" spans="2:15">
      <c r="C56" s="154" t="s">
        <v>347</v>
      </c>
      <c r="D56" s="191" t="str">
        <f>B58</f>
        <v>華青</v>
      </c>
      <c r="E56" s="177"/>
      <c r="F56" s="172"/>
      <c r="G56" s="160"/>
      <c r="H56" s="161"/>
      <c r="I56" s="162"/>
      <c r="J56" s="157"/>
      <c r="K56" s="129"/>
      <c r="L56" s="129" t="s">
        <v>348</v>
      </c>
      <c r="M56" s="129">
        <v>0</v>
      </c>
      <c r="N56" s="129" t="s">
        <v>317</v>
      </c>
      <c r="O56" s="168"/>
    </row>
    <row r="57" spans="2:15">
      <c r="B57" s="168"/>
      <c r="C57" s="178" t="s">
        <v>349</v>
      </c>
      <c r="D57" s="160"/>
      <c r="E57" s="160"/>
      <c r="F57" s="172"/>
      <c r="G57" s="160"/>
      <c r="H57" s="161"/>
      <c r="I57" s="162"/>
      <c r="J57" s="157"/>
      <c r="O57" s="168"/>
    </row>
    <row r="58" spans="2:15">
      <c r="B58" s="152" t="str">
        <f>男乙賽程!R37</f>
        <v>華青</v>
      </c>
      <c r="C58" s="181" t="s">
        <v>101</v>
      </c>
      <c r="D58" s="160"/>
      <c r="E58" s="182"/>
      <c r="F58" s="183" t="s">
        <v>350</v>
      </c>
      <c r="G58" s="156"/>
      <c r="H58" s="209"/>
      <c r="I58" s="162"/>
      <c r="J58" s="157"/>
      <c r="O58" s="168"/>
    </row>
    <row r="59" spans="2:15" ht="18">
      <c r="B59" s="168"/>
      <c r="C59" s="156"/>
      <c r="D59" s="160"/>
      <c r="E59" s="160"/>
      <c r="F59" s="184"/>
      <c r="G59" s="156"/>
      <c r="H59" s="209"/>
      <c r="I59" s="162"/>
      <c r="J59" s="157"/>
      <c r="O59" s="163"/>
    </row>
    <row r="60" spans="2:15">
      <c r="C60" s="156"/>
      <c r="D60" s="160"/>
      <c r="E60" s="160"/>
      <c r="F60" s="172"/>
      <c r="G60" s="156"/>
      <c r="H60" s="209"/>
      <c r="I60" s="162"/>
      <c r="J60" s="157"/>
      <c r="O60" s="168"/>
    </row>
    <row r="61" spans="2:15">
      <c r="B61" s="152" t="str">
        <f>男乙賽程!R43</f>
        <v>消防處</v>
      </c>
      <c r="C61" s="188" t="s">
        <v>107</v>
      </c>
      <c r="D61" s="182"/>
      <c r="E61" s="162"/>
      <c r="F61" s="172"/>
      <c r="G61" s="156"/>
      <c r="H61" s="209"/>
      <c r="I61" s="162"/>
      <c r="J61" s="157"/>
      <c r="O61" s="168"/>
    </row>
    <row r="62" spans="2:15">
      <c r="C62" s="154" t="s">
        <v>351</v>
      </c>
      <c r="D62" s="210"/>
      <c r="E62" s="160"/>
      <c r="F62" s="172"/>
      <c r="G62" s="162"/>
      <c r="H62" s="209"/>
      <c r="I62" s="156"/>
      <c r="J62" s="157"/>
      <c r="O62" s="168"/>
    </row>
    <row r="63" spans="2:15">
      <c r="B63" s="168"/>
      <c r="C63" s="178" t="s">
        <v>352</v>
      </c>
      <c r="D63" s="191" t="str">
        <f>B61</f>
        <v>消防處</v>
      </c>
      <c r="E63" s="160"/>
      <c r="F63" s="172"/>
      <c r="G63" s="156"/>
      <c r="H63" s="209"/>
      <c r="I63" s="156"/>
      <c r="J63" s="161"/>
      <c r="O63" s="168"/>
    </row>
    <row r="64" spans="2:15">
      <c r="B64" s="152" t="str">
        <f>B74</f>
        <v>楠天晴朗</v>
      </c>
      <c r="C64" s="181"/>
      <c r="D64" s="154"/>
      <c r="E64" s="197"/>
      <c r="F64" s="169" t="str">
        <f>D68</f>
        <v>SCAA K&amp;L</v>
      </c>
      <c r="G64" s="156"/>
      <c r="H64" s="211"/>
      <c r="I64" s="212"/>
      <c r="J64" s="161"/>
      <c r="O64" s="168"/>
    </row>
    <row r="65" spans="2:16">
      <c r="C65" s="156"/>
      <c r="D65" s="154" t="s">
        <v>353</v>
      </c>
      <c r="E65" s="160"/>
      <c r="F65" s="161"/>
      <c r="G65" s="156"/>
      <c r="H65" s="213"/>
      <c r="I65" s="156"/>
      <c r="J65" s="161"/>
      <c r="O65" s="168"/>
    </row>
    <row r="66" spans="2:16">
      <c r="B66" s="170"/>
      <c r="C66" s="156"/>
      <c r="D66" s="214" t="s">
        <v>712</v>
      </c>
      <c r="E66" s="160"/>
      <c r="F66" s="161"/>
      <c r="G66" s="156"/>
      <c r="H66" s="215"/>
      <c r="I66" s="216" t="s">
        <v>354</v>
      </c>
      <c r="J66" s="161"/>
      <c r="O66" s="168"/>
    </row>
    <row r="67" spans="2:16" ht="18">
      <c r="B67" s="217" t="str">
        <f>B81</f>
        <v>撈碧鵰</v>
      </c>
      <c r="C67" s="173"/>
      <c r="D67" s="174"/>
      <c r="E67" s="160"/>
      <c r="F67" s="161"/>
      <c r="G67" s="156"/>
      <c r="H67" s="218"/>
      <c r="I67" s="219" t="s">
        <v>355</v>
      </c>
      <c r="J67" s="169"/>
      <c r="O67" s="168"/>
    </row>
    <row r="68" spans="2:16">
      <c r="B68" s="176"/>
      <c r="C68" s="154" t="s">
        <v>356</v>
      </c>
      <c r="D68" s="191" t="str">
        <f>B70</f>
        <v>SCAA K&amp;L</v>
      </c>
      <c r="E68" s="160"/>
      <c r="F68" s="161"/>
      <c r="G68" s="156"/>
      <c r="H68" s="215"/>
      <c r="I68" s="156"/>
      <c r="J68" s="161"/>
      <c r="O68" s="168"/>
    </row>
    <row r="69" spans="2:16">
      <c r="C69" s="178" t="s">
        <v>357</v>
      </c>
      <c r="D69" s="160"/>
      <c r="E69" s="160"/>
      <c r="F69" s="161"/>
      <c r="G69" s="156"/>
      <c r="H69" s="215"/>
      <c r="I69" s="156"/>
      <c r="J69" s="161"/>
      <c r="O69" s="168"/>
    </row>
    <row r="70" spans="2:16">
      <c r="B70" s="152" t="str">
        <f>男乙賽程!R13</f>
        <v>SCAA K&amp;L</v>
      </c>
      <c r="C70" s="181" t="s">
        <v>77</v>
      </c>
      <c r="D70" s="182"/>
      <c r="E70" s="162"/>
      <c r="F70" s="161"/>
      <c r="G70" s="220"/>
      <c r="H70" s="169"/>
      <c r="I70" s="156"/>
      <c r="J70" s="157"/>
      <c r="O70" s="168"/>
    </row>
    <row r="71" spans="2:16">
      <c r="B71" s="129"/>
      <c r="C71" s="156"/>
      <c r="D71" s="209"/>
      <c r="E71" s="156"/>
      <c r="F71" s="157"/>
      <c r="G71" s="156"/>
      <c r="H71" s="156"/>
      <c r="I71" s="156"/>
      <c r="J71" s="157"/>
      <c r="O71" s="168"/>
    </row>
    <row r="72" spans="2:16" ht="18">
      <c r="B72" s="129"/>
      <c r="C72" s="156"/>
      <c r="D72" s="209"/>
      <c r="E72" s="156"/>
      <c r="F72" s="157"/>
      <c r="G72" s="221" t="s">
        <v>316</v>
      </c>
      <c r="H72" s="222" t="s">
        <v>358</v>
      </c>
      <c r="I72" s="156"/>
      <c r="J72" s="157"/>
      <c r="M72" s="167"/>
      <c r="N72" s="223"/>
    </row>
    <row r="73" spans="2:16">
      <c r="B73" s="129"/>
      <c r="C73" s="156"/>
      <c r="D73" s="209"/>
      <c r="E73" s="156"/>
      <c r="F73" s="157"/>
      <c r="G73" s="221" t="s">
        <v>319</v>
      </c>
      <c r="H73" s="222" t="s">
        <v>359</v>
      </c>
      <c r="I73" s="156"/>
      <c r="J73" s="157"/>
    </row>
    <row r="74" spans="2:16">
      <c r="B74" s="200" t="str">
        <f>男乙賽程!R8</f>
        <v>楠天晴朗</v>
      </c>
      <c r="C74" s="224" t="s">
        <v>161</v>
      </c>
      <c r="D74" s="209"/>
      <c r="E74" s="156"/>
      <c r="F74" s="157"/>
      <c r="G74" s="221" t="s">
        <v>320</v>
      </c>
      <c r="H74" s="222" t="s">
        <v>360</v>
      </c>
      <c r="I74" s="156"/>
      <c r="J74" s="157"/>
    </row>
    <row r="75" spans="2:16">
      <c r="B75" s="200" t="str">
        <f>男乙賽程!R14</f>
        <v>三局專家</v>
      </c>
      <c r="C75" s="224" t="s">
        <v>155</v>
      </c>
      <c r="D75" s="209"/>
      <c r="E75" s="156"/>
      <c r="F75" s="157"/>
      <c r="G75" s="221" t="s">
        <v>321</v>
      </c>
      <c r="H75" s="222" t="s">
        <v>361</v>
      </c>
      <c r="I75" s="156"/>
      <c r="J75" s="157"/>
    </row>
    <row r="76" spans="2:16">
      <c r="B76" s="200" t="str">
        <f>男乙賽程!R20</f>
        <v>熱情的麻鷹</v>
      </c>
      <c r="C76" s="224" t="s">
        <v>149</v>
      </c>
      <c r="D76" s="209"/>
      <c r="E76" s="156"/>
      <c r="F76" s="157"/>
      <c r="G76" s="221" t="s">
        <v>322</v>
      </c>
      <c r="H76" s="222" t="s">
        <v>362</v>
      </c>
      <c r="I76" s="156"/>
      <c r="J76" s="157"/>
    </row>
    <row r="77" spans="2:16">
      <c r="B77" s="200" t="str">
        <f>男乙賽程!R26</f>
        <v>我叫你</v>
      </c>
      <c r="C77" s="224" t="s">
        <v>143</v>
      </c>
      <c r="D77" s="209"/>
      <c r="E77" s="156"/>
      <c r="F77" s="157"/>
      <c r="G77" s="221" t="s">
        <v>325</v>
      </c>
      <c r="H77" s="222" t="s">
        <v>363</v>
      </c>
      <c r="I77" s="156"/>
      <c r="J77" s="157"/>
      <c r="K77" s="129"/>
      <c r="L77" s="129"/>
      <c r="M77" s="129"/>
      <c r="N77" s="129"/>
      <c r="O77" s="129"/>
    </row>
    <row r="78" spans="2:16">
      <c r="B78" s="200" t="str">
        <f>男乙賽程!R32</f>
        <v>SKTL</v>
      </c>
      <c r="C78" s="224" t="s">
        <v>137</v>
      </c>
      <c r="O78" s="129"/>
      <c r="P78" s="129"/>
    </row>
    <row r="79" spans="2:16">
      <c r="B79" s="200" t="str">
        <f>男乙賽程!R38</f>
        <v>ALPS_我要買Type R</v>
      </c>
      <c r="C79" s="224" t="s">
        <v>131</v>
      </c>
      <c r="O79" s="129"/>
      <c r="P79" s="129"/>
    </row>
    <row r="80" spans="2:16" ht="18">
      <c r="B80" s="200" t="str">
        <f>男乙賽程!R44</f>
        <v>瘸左瘸埋右</v>
      </c>
      <c r="C80" s="224" t="s">
        <v>125</v>
      </c>
      <c r="D80" s="225"/>
      <c r="E80" s="226"/>
      <c r="F80" s="227"/>
      <c r="G80" s="168"/>
      <c r="H80" s="168"/>
      <c r="I80" s="168"/>
      <c r="O80" s="129"/>
      <c r="P80" s="129"/>
    </row>
    <row r="81" spans="2:16" ht="18">
      <c r="B81" s="200" t="str">
        <f>男乙賽程!R50</f>
        <v>撈碧鵰</v>
      </c>
      <c r="C81" s="224" t="s">
        <v>119</v>
      </c>
      <c r="D81" s="228"/>
      <c r="E81" s="229"/>
      <c r="F81" s="227"/>
      <c r="G81" s="168"/>
      <c r="H81" s="168"/>
      <c r="I81" s="168"/>
      <c r="O81" s="129"/>
      <c r="P81" s="129"/>
    </row>
    <row r="82" spans="2:16" ht="18">
      <c r="B82" s="129"/>
      <c r="C82" s="230"/>
      <c r="D82" s="166"/>
      <c r="E82" s="231"/>
      <c r="F82" s="232"/>
      <c r="G82" s="231"/>
      <c r="H82" s="168"/>
      <c r="I82" s="168"/>
      <c r="O82" s="129"/>
      <c r="P82" s="129"/>
    </row>
    <row r="83" spans="2:16" ht="18">
      <c r="C83" s="230"/>
      <c r="D83" s="166"/>
      <c r="E83" s="229"/>
      <c r="F83" s="233"/>
      <c r="O83" s="129"/>
      <c r="P83" s="129"/>
    </row>
    <row r="84" spans="2:16" ht="18">
      <c r="C84" s="230"/>
      <c r="D84" s="166"/>
      <c r="E84" s="229"/>
      <c r="F84" s="227"/>
      <c r="O84" s="129"/>
      <c r="P84" s="129"/>
    </row>
    <row r="85" spans="2:16" ht="18">
      <c r="B85" s="129"/>
      <c r="C85" s="230"/>
      <c r="D85" s="163"/>
      <c r="E85" s="234"/>
      <c r="F85" s="227"/>
      <c r="O85" s="129"/>
      <c r="P85" s="129"/>
    </row>
    <row r="86" spans="2:16" ht="18">
      <c r="C86" s="163"/>
      <c r="D86" s="228"/>
      <c r="E86" s="167"/>
      <c r="F86" s="227"/>
      <c r="H86" s="235"/>
      <c r="O86" s="129"/>
    </row>
    <row r="87" spans="2:16" ht="18">
      <c r="C87" s="206"/>
      <c r="D87" s="236"/>
      <c r="E87" s="167"/>
      <c r="F87" s="227"/>
      <c r="G87" s="168"/>
      <c r="H87" s="168"/>
      <c r="I87" s="168"/>
      <c r="O87" s="129"/>
    </row>
    <row r="88" spans="2:16" ht="18">
      <c r="B88" s="129"/>
      <c r="C88" s="230"/>
      <c r="D88" s="163"/>
      <c r="E88" s="167"/>
      <c r="F88" s="223"/>
      <c r="G88" s="168"/>
      <c r="H88" s="168"/>
      <c r="I88" s="168"/>
      <c r="O88" s="129"/>
    </row>
    <row r="89" spans="2:16" ht="18">
      <c r="C89" s="230"/>
      <c r="D89" s="163"/>
      <c r="E89" s="229"/>
      <c r="F89" s="223"/>
      <c r="G89" s="168"/>
      <c r="H89" s="168"/>
      <c r="I89" s="168"/>
      <c r="O89" s="129"/>
    </row>
    <row r="90" spans="2:16" ht="18">
      <c r="C90" s="230"/>
      <c r="D90" s="206"/>
      <c r="E90" s="229"/>
      <c r="F90" s="227"/>
      <c r="G90" s="168"/>
      <c r="H90" s="168"/>
      <c r="I90" s="168"/>
      <c r="O90" s="129"/>
    </row>
    <row r="91" spans="2:16" ht="18">
      <c r="B91" s="129"/>
      <c r="C91" s="230"/>
      <c r="D91" s="166"/>
      <c r="E91" s="167"/>
      <c r="F91" s="227"/>
      <c r="G91" s="168"/>
      <c r="H91" s="168"/>
      <c r="I91" s="168"/>
      <c r="O91" s="129"/>
    </row>
    <row r="92" spans="2:16" ht="18">
      <c r="C92" s="163"/>
      <c r="D92" s="225"/>
      <c r="E92" s="167"/>
      <c r="F92" s="227"/>
      <c r="G92" s="168"/>
      <c r="H92" s="168"/>
      <c r="I92" s="168"/>
      <c r="O92" s="129"/>
    </row>
    <row r="93" spans="2:16" ht="24.75">
      <c r="C93" s="206"/>
      <c r="D93" s="228"/>
      <c r="E93" s="167"/>
      <c r="F93" s="227"/>
      <c r="G93" s="168"/>
      <c r="H93" s="168"/>
      <c r="I93" s="168"/>
      <c r="J93" s="237"/>
      <c r="O93" s="129"/>
    </row>
    <row r="94" spans="2:16" ht="18">
      <c r="B94" s="129"/>
      <c r="C94" s="230"/>
      <c r="D94" s="163"/>
      <c r="E94" s="234"/>
      <c r="F94" s="227"/>
      <c r="H94" s="168"/>
      <c r="I94" s="163"/>
      <c r="J94" s="238"/>
      <c r="O94" s="129"/>
    </row>
    <row r="95" spans="2:16" ht="21">
      <c r="C95" s="230"/>
      <c r="D95" s="166"/>
      <c r="E95" s="229"/>
      <c r="F95" s="227"/>
      <c r="H95" s="239"/>
      <c r="I95" s="167"/>
      <c r="J95" s="240"/>
      <c r="O95" s="129"/>
    </row>
    <row r="96" spans="2:16" ht="18">
      <c r="C96" s="230"/>
      <c r="D96" s="166"/>
      <c r="E96" s="226"/>
      <c r="F96" s="227"/>
      <c r="G96" s="206"/>
      <c r="H96" s="168"/>
      <c r="I96" s="206"/>
      <c r="O96" s="129"/>
    </row>
    <row r="97" spans="2:15" ht="18">
      <c r="B97" s="129"/>
      <c r="C97" s="230"/>
      <c r="D97" s="128"/>
      <c r="G97" s="168"/>
      <c r="H97" s="168"/>
      <c r="I97" s="168"/>
      <c r="O97" s="129"/>
    </row>
    <row r="98" spans="2:15" ht="18">
      <c r="C98" s="163"/>
      <c r="D98" s="235"/>
      <c r="G98" s="168"/>
      <c r="H98" s="168"/>
      <c r="I98" s="168"/>
      <c r="O98" s="129"/>
    </row>
    <row r="99" spans="2:15" ht="21">
      <c r="C99" s="206"/>
      <c r="D99" s="225"/>
      <c r="E99" s="167"/>
      <c r="F99" s="227"/>
      <c r="G99" s="168"/>
      <c r="H99" s="168"/>
      <c r="I99" s="168"/>
      <c r="J99" s="240"/>
      <c r="O99" s="129"/>
    </row>
    <row r="100" spans="2:15" ht="18">
      <c r="C100" s="230"/>
      <c r="D100" s="163"/>
      <c r="E100" s="234"/>
      <c r="F100" s="223"/>
      <c r="G100" s="168"/>
      <c r="H100" s="168"/>
      <c r="I100" s="168"/>
      <c r="O100" s="129"/>
    </row>
    <row r="101" spans="2:15" ht="18">
      <c r="C101" s="230"/>
      <c r="D101" s="206"/>
      <c r="E101" s="234"/>
      <c r="F101" s="227"/>
      <c r="G101" s="168"/>
      <c r="H101" s="168"/>
      <c r="I101" s="168"/>
      <c r="O101" s="129"/>
    </row>
    <row r="102" spans="2:15" ht="18">
      <c r="B102" s="129"/>
      <c r="C102" s="230"/>
      <c r="D102" s="206"/>
      <c r="E102" s="229"/>
      <c r="F102" s="227"/>
      <c r="G102" s="231"/>
      <c r="H102" s="168"/>
      <c r="I102" s="168"/>
      <c r="O102" s="129"/>
    </row>
    <row r="103" spans="2:15" ht="21">
      <c r="C103" s="163"/>
      <c r="D103" s="225"/>
      <c r="E103" s="226"/>
      <c r="F103" s="227"/>
      <c r="G103" s="167"/>
      <c r="H103" s="241"/>
      <c r="I103" s="168"/>
      <c r="J103" s="240"/>
      <c r="O103" s="129"/>
    </row>
    <row r="104" spans="2:15" ht="18">
      <c r="C104" s="206"/>
      <c r="D104" s="228"/>
      <c r="E104" s="229"/>
      <c r="F104" s="227"/>
      <c r="G104" s="167"/>
      <c r="H104" s="168"/>
      <c r="I104" s="168"/>
      <c r="J104" s="238"/>
      <c r="K104" s="129"/>
      <c r="L104" s="129"/>
      <c r="M104" s="242"/>
      <c r="N104" s="129"/>
      <c r="O104" s="129"/>
    </row>
    <row r="105" spans="2:15" ht="18">
      <c r="B105" s="129"/>
      <c r="C105" s="230"/>
      <c r="D105" s="166"/>
      <c r="E105" s="231"/>
      <c r="F105" s="232"/>
      <c r="I105" s="168"/>
      <c r="J105" s="238"/>
      <c r="K105" s="230"/>
      <c r="L105" s="243"/>
      <c r="M105" s="244"/>
    </row>
    <row r="106" spans="2:15" ht="18">
      <c r="B106" s="168"/>
      <c r="C106" s="230"/>
      <c r="D106" s="166"/>
      <c r="E106" s="229"/>
      <c r="F106" s="233"/>
      <c r="I106" s="168"/>
      <c r="J106" s="238"/>
      <c r="K106" s="230"/>
      <c r="L106" s="243"/>
      <c r="M106" s="244"/>
    </row>
    <row r="107" spans="2:15" ht="18">
      <c r="C107" s="230"/>
      <c r="D107" s="166"/>
      <c r="E107" s="229"/>
      <c r="F107" s="227"/>
      <c r="I107" s="168"/>
      <c r="J107" s="238"/>
      <c r="K107" s="230"/>
      <c r="L107" s="243"/>
      <c r="M107" s="244"/>
    </row>
    <row r="108" spans="2:15" ht="18">
      <c r="B108" s="129"/>
      <c r="C108" s="230"/>
      <c r="D108" s="163"/>
      <c r="E108" s="234"/>
      <c r="F108" s="227"/>
      <c r="I108" s="168"/>
      <c r="J108" s="238"/>
      <c r="K108" s="230"/>
      <c r="L108" s="243"/>
      <c r="M108" s="244"/>
    </row>
    <row r="109" spans="2:15" ht="18">
      <c r="B109" s="168"/>
      <c r="C109" s="163"/>
      <c r="D109" s="228"/>
      <c r="E109" s="167"/>
      <c r="F109" s="227"/>
      <c r="G109" s="168"/>
      <c r="J109" s="238"/>
      <c r="K109" s="230"/>
      <c r="L109" s="243"/>
      <c r="M109" s="244"/>
    </row>
    <row r="110" spans="2:15" ht="18">
      <c r="B110" s="168"/>
      <c r="C110" s="206"/>
      <c r="D110" s="225"/>
      <c r="E110" s="167"/>
      <c r="F110" s="227"/>
      <c r="H110" s="230"/>
      <c r="J110" s="238"/>
      <c r="K110" s="230"/>
    </row>
    <row r="111" spans="2:15" ht="18">
      <c r="B111" s="129"/>
      <c r="C111" s="230"/>
      <c r="D111" s="163"/>
      <c r="E111" s="167"/>
      <c r="F111" s="223"/>
      <c r="J111" s="238"/>
      <c r="K111" s="230"/>
    </row>
    <row r="112" spans="2:15" ht="18">
      <c r="B112" s="168"/>
      <c r="C112" s="230"/>
      <c r="D112" s="163"/>
      <c r="E112" s="229"/>
      <c r="F112" s="223"/>
      <c r="J112" s="238"/>
      <c r="K112" s="230"/>
    </row>
    <row r="113" spans="2:11" ht="18">
      <c r="B113" s="168"/>
      <c r="C113" s="230"/>
      <c r="D113" s="206"/>
      <c r="E113" s="229"/>
      <c r="F113" s="227"/>
      <c r="J113" s="238"/>
      <c r="K113" s="230"/>
    </row>
    <row r="114" spans="2:11" ht="18">
      <c r="B114" s="129"/>
      <c r="C114" s="230"/>
      <c r="D114" s="166"/>
      <c r="E114" s="167"/>
      <c r="F114" s="227"/>
      <c r="J114" s="238"/>
      <c r="K114" s="230"/>
    </row>
    <row r="115" spans="2:11" ht="18">
      <c r="C115" s="163"/>
      <c r="D115" s="225"/>
      <c r="E115" s="167"/>
      <c r="F115" s="227"/>
      <c r="J115" s="238"/>
      <c r="K115" s="230"/>
    </row>
    <row r="116" spans="2:11" ht="18">
      <c r="C116" s="206"/>
      <c r="D116" s="228"/>
      <c r="E116" s="167"/>
      <c r="F116" s="227"/>
      <c r="J116" s="238"/>
      <c r="K116" s="230"/>
    </row>
    <row r="117" spans="2:11" ht="18">
      <c r="B117" s="245"/>
      <c r="C117" s="230"/>
      <c r="D117" s="163"/>
      <c r="E117" s="234"/>
      <c r="F117" s="227"/>
      <c r="G117" s="246"/>
      <c r="J117" s="238"/>
      <c r="K117" s="230"/>
    </row>
    <row r="118" spans="2:11">
      <c r="D118" s="128"/>
    </row>
  </sheetData>
  <printOptions horizontalCentered="1" vertic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85"/>
  <sheetViews>
    <sheetView topLeftCell="E1" zoomScale="75" zoomScaleNormal="75" workbookViewId="0">
      <selection activeCell="I28" sqref="I28"/>
    </sheetView>
  </sheetViews>
  <sheetFormatPr defaultRowHeight="17.25"/>
  <cols>
    <col min="1" max="1" width="9.109375" style="247" hidden="1" customWidth="1"/>
    <col min="2" max="2" width="8.109375" style="247" customWidth="1"/>
    <col min="3" max="3" width="6.6640625" style="247" customWidth="1"/>
    <col min="4" max="4" width="8.6640625" style="247" customWidth="1"/>
    <col min="5" max="5" width="13.33203125" style="247" customWidth="1"/>
    <col min="6" max="6" width="4.33203125" style="247" customWidth="1"/>
    <col min="7" max="7" width="13.5546875" style="247" customWidth="1"/>
    <col min="8" max="8" width="21.6640625" style="247" customWidth="1"/>
    <col min="9" max="9" width="2.6640625" style="247" customWidth="1"/>
    <col min="10" max="10" width="21.6640625" style="247" customWidth="1"/>
    <col min="11" max="14" width="7.6640625" style="245" customWidth="1"/>
    <col min="15" max="15" width="19.33203125" style="248" customWidth="1"/>
    <col min="16" max="16" width="7.6640625" style="248" customWidth="1"/>
    <col min="17" max="17" width="7.6640625" style="247" customWidth="1"/>
    <col min="18" max="18" width="16.44140625" style="247" customWidth="1"/>
    <col min="19" max="1025" width="7.6640625" style="247" customWidth="1"/>
  </cols>
  <sheetData>
    <row r="1" spans="1:23" ht="24.75">
      <c r="B1" s="249" t="s">
        <v>364</v>
      </c>
      <c r="C1" s="250"/>
      <c r="D1" s="251"/>
      <c r="E1" s="252"/>
      <c r="F1" s="250"/>
      <c r="G1" s="245"/>
      <c r="H1" s="253"/>
    </row>
    <row r="2" spans="1:23" ht="25.5">
      <c r="B2" s="254" t="s">
        <v>365</v>
      </c>
      <c r="C2" s="250"/>
      <c r="D2" s="251"/>
      <c r="E2" s="252"/>
      <c r="F2" s="250"/>
      <c r="G2" s="245"/>
      <c r="H2" s="253"/>
    </row>
    <row r="3" spans="1:23" ht="20.25">
      <c r="B3" s="250"/>
      <c r="C3" s="255"/>
      <c r="D3" s="250"/>
      <c r="E3" s="250"/>
      <c r="F3" s="256"/>
      <c r="G3" s="257"/>
      <c r="H3" s="258"/>
      <c r="I3" s="258"/>
      <c r="J3" s="258"/>
      <c r="K3" s="259" t="s">
        <v>366</v>
      </c>
      <c r="L3" s="259" t="s">
        <v>367</v>
      </c>
      <c r="M3" s="259" t="s">
        <v>367</v>
      </c>
      <c r="N3" s="259" t="s">
        <v>366</v>
      </c>
    </row>
    <row r="4" spans="1:23">
      <c r="A4" s="260" t="s">
        <v>368</v>
      </c>
      <c r="B4" s="261" t="s">
        <v>369</v>
      </c>
      <c r="C4" s="13" t="s">
        <v>370</v>
      </c>
      <c r="D4" s="13"/>
      <c r="E4" s="13" t="s">
        <v>371</v>
      </c>
      <c r="F4" s="13"/>
      <c r="G4" s="13"/>
      <c r="H4" s="262" t="s">
        <v>372</v>
      </c>
      <c r="I4" s="263"/>
      <c r="J4" s="262" t="s">
        <v>373</v>
      </c>
      <c r="K4" s="264"/>
      <c r="L4" s="264"/>
      <c r="M4" s="264"/>
      <c r="N4" s="264"/>
    </row>
    <row r="5" spans="1:23" ht="16.5" customHeight="1">
      <c r="A5" s="265" t="s">
        <v>374</v>
      </c>
      <c r="B5" s="266" t="s">
        <v>375</v>
      </c>
      <c r="C5" s="12" t="s">
        <v>376</v>
      </c>
      <c r="D5" s="12"/>
      <c r="E5" s="11" t="s">
        <v>377</v>
      </c>
      <c r="F5" s="11"/>
      <c r="G5" s="11"/>
      <c r="H5" s="267" t="s">
        <v>51</v>
      </c>
      <c r="I5" s="265"/>
      <c r="J5" s="267" t="s">
        <v>51</v>
      </c>
      <c r="K5" s="264"/>
      <c r="L5" s="264"/>
      <c r="M5" s="264"/>
      <c r="N5" s="264"/>
    </row>
    <row r="6" spans="1:23">
      <c r="A6" s="268" t="e">
        <f>IF(#REF!&lt;&gt;#REF!,#REF!,"")</f>
        <v>#REF!</v>
      </c>
      <c r="B6" s="269">
        <v>1</v>
      </c>
      <c r="C6" s="270" t="s">
        <v>266</v>
      </c>
      <c r="D6" s="271">
        <v>1</v>
      </c>
      <c r="E6" s="272" t="s">
        <v>71</v>
      </c>
      <c r="F6" s="272" t="s">
        <v>378</v>
      </c>
      <c r="G6" s="272" t="s">
        <v>209</v>
      </c>
      <c r="H6" s="264" t="str">
        <f>VLOOKUP(E6,MD!$C$6:$K$94,3,0)</f>
        <v>Alps LC</v>
      </c>
      <c r="I6" s="273" t="s">
        <v>378</v>
      </c>
      <c r="J6" s="264" t="str">
        <f>VLOOKUP(G6,MD!$C$6:$K$94,3,0)</f>
        <v>楠天晴朗</v>
      </c>
      <c r="K6" s="274">
        <v>2</v>
      </c>
      <c r="L6" s="264">
        <v>42</v>
      </c>
      <c r="M6" s="264">
        <v>0</v>
      </c>
      <c r="N6" s="264">
        <v>0</v>
      </c>
      <c r="O6" s="248" t="s">
        <v>379</v>
      </c>
      <c r="P6" s="275" t="s">
        <v>266</v>
      </c>
      <c r="Q6" s="275" t="s">
        <v>380</v>
      </c>
      <c r="R6" s="276" t="s">
        <v>50</v>
      </c>
      <c r="S6" s="276" t="s">
        <v>381</v>
      </c>
      <c r="T6" s="276" t="s">
        <v>382</v>
      </c>
      <c r="U6" s="276" t="s">
        <v>383</v>
      </c>
      <c r="V6" s="276" t="s">
        <v>61</v>
      </c>
      <c r="W6" s="275"/>
    </row>
    <row r="7" spans="1:23">
      <c r="A7" s="277" t="e">
        <f>IF(#REF!&lt;&gt;#REF!,#REF!,"")</f>
        <v>#REF!</v>
      </c>
      <c r="B7" s="278">
        <v>2</v>
      </c>
      <c r="C7" s="279" t="s">
        <v>266</v>
      </c>
      <c r="D7" s="280">
        <v>2</v>
      </c>
      <c r="E7" s="281" t="s">
        <v>161</v>
      </c>
      <c r="F7" s="281" t="s">
        <v>378</v>
      </c>
      <c r="G7" s="282" t="s">
        <v>167</v>
      </c>
      <c r="H7" s="264" t="str">
        <f>VLOOKUP(E7,MD!$C$6:$K$94,3,0)</f>
        <v>SWC</v>
      </c>
      <c r="I7" s="273" t="s">
        <v>378</v>
      </c>
      <c r="J7" s="264" t="str">
        <f>VLOOKUP(G7,MD!$C$6:$K$94,3,0)</f>
        <v>AM</v>
      </c>
      <c r="K7" s="274">
        <v>0</v>
      </c>
      <c r="L7" s="264">
        <v>0</v>
      </c>
      <c r="M7" s="264">
        <v>42</v>
      </c>
      <c r="N7" s="264">
        <v>2</v>
      </c>
      <c r="O7" s="248" t="s">
        <v>384</v>
      </c>
      <c r="P7" s="275"/>
      <c r="Q7" s="263">
        <v>1</v>
      </c>
      <c r="R7" s="283" t="s">
        <v>66</v>
      </c>
      <c r="S7" s="283">
        <v>3</v>
      </c>
      <c r="T7" s="283">
        <v>0</v>
      </c>
      <c r="U7" s="283">
        <v>0</v>
      </c>
      <c r="V7" s="283">
        <f>S7*3+T7*1+U7*0</f>
        <v>9</v>
      </c>
      <c r="W7" s="275"/>
    </row>
    <row r="8" spans="1:23">
      <c r="A8" s="277" t="e">
        <f>IF(#REF!&lt;&gt;#REF!,#REF!,"")</f>
        <v>#REF!</v>
      </c>
      <c r="B8" s="269">
        <v>3</v>
      </c>
      <c r="C8" s="279" t="s">
        <v>266</v>
      </c>
      <c r="D8" s="280">
        <v>3</v>
      </c>
      <c r="E8" s="281" t="s">
        <v>71</v>
      </c>
      <c r="F8" s="281" t="s">
        <v>378</v>
      </c>
      <c r="G8" s="282" t="s">
        <v>167</v>
      </c>
      <c r="H8" s="264" t="str">
        <f>VLOOKUP(E8,MD!$C$6:$K$94,3,0)</f>
        <v>Alps LC</v>
      </c>
      <c r="I8" s="273" t="s">
        <v>378</v>
      </c>
      <c r="J8" s="264" t="str">
        <f>VLOOKUP(G8,MD!$C$6:$K$94,3,0)</f>
        <v>AM</v>
      </c>
      <c r="K8" s="274">
        <v>2</v>
      </c>
      <c r="L8" s="264">
        <f>21+21</f>
        <v>42</v>
      </c>
      <c r="M8" s="264">
        <f>4+3</f>
        <v>7</v>
      </c>
      <c r="N8" s="264">
        <v>0</v>
      </c>
      <c r="O8" s="248" t="s">
        <v>385</v>
      </c>
      <c r="P8" s="275"/>
      <c r="Q8" s="263">
        <v>2</v>
      </c>
      <c r="R8" s="283" t="s">
        <v>206</v>
      </c>
      <c r="S8" s="283">
        <v>2</v>
      </c>
      <c r="T8" s="283">
        <v>0</v>
      </c>
      <c r="U8" s="283">
        <v>1</v>
      </c>
      <c r="V8" s="283">
        <f>S8*3+T8*1</f>
        <v>6</v>
      </c>
      <c r="W8" s="275"/>
    </row>
    <row r="9" spans="1:23">
      <c r="A9" s="277" t="e">
        <f>IF(#REF!&lt;&gt;#REF!,#REF!,"")</f>
        <v>#REF!</v>
      </c>
      <c r="B9" s="278">
        <v>4</v>
      </c>
      <c r="C9" s="279" t="s">
        <v>266</v>
      </c>
      <c r="D9" s="280">
        <v>4</v>
      </c>
      <c r="E9" s="281" t="s">
        <v>161</v>
      </c>
      <c r="F9" s="281" t="s">
        <v>378</v>
      </c>
      <c r="G9" s="282" t="s">
        <v>209</v>
      </c>
      <c r="H9" s="264" t="str">
        <f>VLOOKUP(E9,MD!$C$6:$K$94,3,0)</f>
        <v>SWC</v>
      </c>
      <c r="I9" s="273" t="s">
        <v>378</v>
      </c>
      <c r="J9" s="264" t="str">
        <f>VLOOKUP(G9,MD!$C$6:$K$94,3,0)</f>
        <v>楠天晴朗</v>
      </c>
      <c r="K9" s="274">
        <v>0</v>
      </c>
      <c r="L9" s="264">
        <v>0</v>
      </c>
      <c r="M9" s="264">
        <v>42</v>
      </c>
      <c r="N9" s="264">
        <v>2</v>
      </c>
      <c r="O9" s="248" t="s">
        <v>384</v>
      </c>
      <c r="P9" s="275"/>
      <c r="Q9" s="284">
        <v>3</v>
      </c>
      <c r="R9" s="285" t="s">
        <v>162</v>
      </c>
      <c r="S9" s="285">
        <v>1</v>
      </c>
      <c r="T9" s="285">
        <v>0</v>
      </c>
      <c r="U9" s="285">
        <v>2</v>
      </c>
      <c r="V9" s="285">
        <f>S9*3+T9*1</f>
        <v>3</v>
      </c>
      <c r="W9" s="275"/>
    </row>
    <row r="10" spans="1:23">
      <c r="A10" s="277" t="e">
        <f>IF(#REF!&lt;&gt;#REF!,#REF!,"")</f>
        <v>#REF!</v>
      </c>
      <c r="B10" s="269">
        <v>5</v>
      </c>
      <c r="C10" s="279" t="s">
        <v>266</v>
      </c>
      <c r="D10" s="280">
        <v>5</v>
      </c>
      <c r="E10" s="281" t="s">
        <v>167</v>
      </c>
      <c r="F10" s="281" t="s">
        <v>378</v>
      </c>
      <c r="G10" s="282" t="s">
        <v>209</v>
      </c>
      <c r="H10" s="264" t="str">
        <f>VLOOKUP(E10,MD!$C$6:$K$94,3,0)</f>
        <v>AM</v>
      </c>
      <c r="I10" s="273" t="s">
        <v>378</v>
      </c>
      <c r="J10" s="264" t="str">
        <f>VLOOKUP(G10,MD!$C$6:$K$94,3,0)</f>
        <v>楠天晴朗</v>
      </c>
      <c r="K10" s="274">
        <v>0</v>
      </c>
      <c r="L10" s="264">
        <f>16+11</f>
        <v>27</v>
      </c>
      <c r="M10" s="264">
        <f>21+21</f>
        <v>42</v>
      </c>
      <c r="N10" s="264">
        <v>2</v>
      </c>
      <c r="O10" s="248" t="s">
        <v>386</v>
      </c>
      <c r="P10" s="275"/>
      <c r="Q10" s="286"/>
      <c r="R10" s="286" t="s">
        <v>156</v>
      </c>
      <c r="S10" s="286"/>
      <c r="T10" s="286"/>
      <c r="U10" s="286"/>
      <c r="V10" s="287">
        <f>S10*3+T10*1</f>
        <v>0</v>
      </c>
      <c r="W10" s="275"/>
    </row>
    <row r="11" spans="1:23">
      <c r="A11" s="277"/>
      <c r="B11" s="278">
        <v>6</v>
      </c>
      <c r="C11" s="288" t="s">
        <v>266</v>
      </c>
      <c r="D11" s="289">
        <v>6</v>
      </c>
      <c r="E11" s="290" t="s">
        <v>71</v>
      </c>
      <c r="F11" s="290" t="s">
        <v>378</v>
      </c>
      <c r="G11" s="290" t="s">
        <v>161</v>
      </c>
      <c r="H11" s="264" t="str">
        <f>VLOOKUP(E11,MD!$C$6:$K$94,3,0)</f>
        <v>Alps LC</v>
      </c>
      <c r="I11" s="273" t="s">
        <v>378</v>
      </c>
      <c r="J11" s="264" t="str">
        <f>VLOOKUP(G11,MD!$C$6:$K$94,3,0)</f>
        <v>SWC</v>
      </c>
      <c r="K11" s="274">
        <v>2</v>
      </c>
      <c r="L11" s="264">
        <v>42</v>
      </c>
      <c r="M11" s="264">
        <v>0</v>
      </c>
      <c r="N11" s="264">
        <v>0</v>
      </c>
      <c r="O11" s="248" t="s">
        <v>384</v>
      </c>
    </row>
    <row r="12" spans="1:23">
      <c r="A12" s="277"/>
      <c r="B12" s="291">
        <v>7</v>
      </c>
      <c r="C12" s="292" t="s">
        <v>267</v>
      </c>
      <c r="D12" s="271">
        <v>1</v>
      </c>
      <c r="E12" s="272" t="s">
        <v>77</v>
      </c>
      <c r="F12" s="272" t="s">
        <v>378</v>
      </c>
      <c r="G12" s="272" t="s">
        <v>229</v>
      </c>
      <c r="H12" s="264" t="str">
        <f>VLOOKUP(E12,MD!$C$6:$K$94,3,0)</f>
        <v>三局專家</v>
      </c>
      <c r="I12" s="273" t="s">
        <v>378</v>
      </c>
      <c r="J12" s="264" t="str">
        <f>VLOOKUP(G12,MD!$C$6:$K$94,3,0)</f>
        <v>壞人＋barcode頭</v>
      </c>
      <c r="K12" s="274">
        <v>2</v>
      </c>
      <c r="L12" s="264">
        <v>42</v>
      </c>
      <c r="M12" s="264">
        <v>0</v>
      </c>
      <c r="N12" s="264">
        <v>0</v>
      </c>
      <c r="O12" s="293" t="s">
        <v>387</v>
      </c>
      <c r="P12" s="275" t="s">
        <v>267</v>
      </c>
      <c r="Q12" s="275" t="s">
        <v>380</v>
      </c>
      <c r="R12" s="276" t="s">
        <v>50</v>
      </c>
      <c r="S12" s="276" t="s">
        <v>381</v>
      </c>
      <c r="T12" s="276" t="s">
        <v>382</v>
      </c>
      <c r="U12" s="276" t="s">
        <v>383</v>
      </c>
      <c r="V12" s="276" t="s">
        <v>61</v>
      </c>
      <c r="W12" s="275"/>
    </row>
    <row r="13" spans="1:23">
      <c r="A13" s="277"/>
      <c r="B13" s="294">
        <v>8</v>
      </c>
      <c r="C13" s="279" t="s">
        <v>267</v>
      </c>
      <c r="D13" s="280">
        <v>2</v>
      </c>
      <c r="E13" s="281" t="s">
        <v>155</v>
      </c>
      <c r="F13" s="281" t="s">
        <v>378</v>
      </c>
      <c r="G13" s="282" t="s">
        <v>173</v>
      </c>
      <c r="H13" s="264" t="str">
        <f>VLOOKUP(E13,MD!$C$6:$K$94,3,0)</f>
        <v>SCAA K&amp;L</v>
      </c>
      <c r="I13" s="273" t="s">
        <v>378</v>
      </c>
      <c r="J13" s="264" t="str">
        <f>VLOOKUP(G13,MD!$C$6:$K$94,3,0)</f>
        <v>我愛香港二隊</v>
      </c>
      <c r="K13" s="274">
        <v>2</v>
      </c>
      <c r="L13" s="264">
        <f>21+21</f>
        <v>42</v>
      </c>
      <c r="M13" s="264">
        <f>12+17</f>
        <v>29</v>
      </c>
      <c r="N13" s="264">
        <v>0</v>
      </c>
      <c r="O13" s="276" t="s">
        <v>388</v>
      </c>
      <c r="P13" s="275"/>
      <c r="Q13" s="263">
        <v>1</v>
      </c>
      <c r="R13" s="295" t="s">
        <v>150</v>
      </c>
      <c r="S13" s="283">
        <v>3</v>
      </c>
      <c r="T13" s="283">
        <v>0</v>
      </c>
      <c r="U13" s="283">
        <v>0</v>
      </c>
      <c r="V13" s="283">
        <f>S13*3+T13*1+U13*0</f>
        <v>9</v>
      </c>
      <c r="W13" s="275"/>
    </row>
    <row r="14" spans="1:23">
      <c r="A14" s="277"/>
      <c r="B14" s="294">
        <v>9</v>
      </c>
      <c r="C14" s="279" t="s">
        <v>267</v>
      </c>
      <c r="D14" s="280">
        <v>3</v>
      </c>
      <c r="E14" s="281" t="s">
        <v>77</v>
      </c>
      <c r="F14" s="281" t="s">
        <v>378</v>
      </c>
      <c r="G14" s="281" t="s">
        <v>173</v>
      </c>
      <c r="H14" s="264" t="str">
        <f>VLOOKUP(E14,MD!$C$6:$K$94,3,0)</f>
        <v>三局專家</v>
      </c>
      <c r="I14" s="273" t="s">
        <v>378</v>
      </c>
      <c r="J14" s="264" t="str">
        <f>VLOOKUP(G14,MD!$C$6:$K$94,3,0)</f>
        <v>我愛香港二隊</v>
      </c>
      <c r="K14" s="274">
        <v>1</v>
      </c>
      <c r="L14" s="264">
        <f>21+18</f>
        <v>39</v>
      </c>
      <c r="M14" s="264">
        <f>18+21</f>
        <v>39</v>
      </c>
      <c r="N14" s="264">
        <v>1</v>
      </c>
      <c r="O14" s="276" t="s">
        <v>389</v>
      </c>
      <c r="P14" s="275"/>
      <c r="Q14" s="263">
        <v>2</v>
      </c>
      <c r="R14" s="296" t="s">
        <v>72</v>
      </c>
      <c r="S14" s="283">
        <v>2</v>
      </c>
      <c r="T14" s="283">
        <v>1</v>
      </c>
      <c r="U14" s="283">
        <v>0</v>
      </c>
      <c r="V14" s="283">
        <f>S14*3+T14*1</f>
        <v>7</v>
      </c>
      <c r="W14" s="275"/>
    </row>
    <row r="15" spans="1:23">
      <c r="A15" s="277"/>
      <c r="B15" s="294">
        <v>10</v>
      </c>
      <c r="C15" s="279" t="s">
        <v>267</v>
      </c>
      <c r="D15" s="280">
        <v>4</v>
      </c>
      <c r="E15" s="281" t="s">
        <v>155</v>
      </c>
      <c r="F15" s="281" t="s">
        <v>378</v>
      </c>
      <c r="G15" s="282" t="s">
        <v>229</v>
      </c>
      <c r="H15" s="264" t="str">
        <f>VLOOKUP(E15,MD!$C$6:$K$94,3,0)</f>
        <v>SCAA K&amp;L</v>
      </c>
      <c r="I15" s="273" t="s">
        <v>378</v>
      </c>
      <c r="J15" s="264" t="str">
        <f>VLOOKUP(G15,MD!$C$6:$K$94,3,0)</f>
        <v>壞人＋barcode頭</v>
      </c>
      <c r="K15" s="274">
        <v>2</v>
      </c>
      <c r="L15" s="264">
        <v>42</v>
      </c>
      <c r="M15" s="264">
        <v>0</v>
      </c>
      <c r="N15" s="264">
        <v>0</v>
      </c>
      <c r="O15" s="293" t="s">
        <v>387</v>
      </c>
      <c r="P15" s="275"/>
      <c r="Q15" s="284">
        <v>3</v>
      </c>
      <c r="R15" s="297" t="s">
        <v>168</v>
      </c>
      <c r="S15" s="285">
        <v>2</v>
      </c>
      <c r="T15" s="285">
        <v>1</v>
      </c>
      <c r="U15" s="285">
        <v>0</v>
      </c>
      <c r="V15" s="285">
        <f>S15*3+T15*1</f>
        <v>7</v>
      </c>
      <c r="W15" s="275"/>
    </row>
    <row r="16" spans="1:23">
      <c r="A16" s="277"/>
      <c r="B16" s="291">
        <v>11</v>
      </c>
      <c r="C16" s="279" t="s">
        <v>267</v>
      </c>
      <c r="D16" s="280">
        <v>5</v>
      </c>
      <c r="E16" s="281" t="s">
        <v>173</v>
      </c>
      <c r="F16" s="281" t="s">
        <v>378</v>
      </c>
      <c r="G16" s="282" t="s">
        <v>229</v>
      </c>
      <c r="H16" s="264" t="str">
        <f>VLOOKUP(E16,MD!$C$6:$K$94,3,0)</f>
        <v>我愛香港二隊</v>
      </c>
      <c r="I16" s="273" t="s">
        <v>378</v>
      </c>
      <c r="J16" s="264" t="str">
        <f>VLOOKUP(G16,MD!$C$6:$K$94,3,0)</f>
        <v>壞人＋barcode頭</v>
      </c>
      <c r="K16" s="274">
        <v>2</v>
      </c>
      <c r="L16" s="264">
        <v>42</v>
      </c>
      <c r="M16" s="264">
        <v>0</v>
      </c>
      <c r="N16" s="264">
        <v>0</v>
      </c>
      <c r="O16" s="293" t="s">
        <v>387</v>
      </c>
      <c r="P16" s="275"/>
      <c r="Q16" s="286"/>
      <c r="R16" s="287" t="s">
        <v>226</v>
      </c>
      <c r="S16" s="287"/>
      <c r="T16" s="287"/>
      <c r="U16" s="287"/>
      <c r="V16" s="287">
        <f>S16*3+T16*1</f>
        <v>0</v>
      </c>
      <c r="W16" s="275"/>
    </row>
    <row r="17" spans="1:23">
      <c r="A17" s="277"/>
      <c r="B17" s="294">
        <v>12</v>
      </c>
      <c r="C17" s="288" t="s">
        <v>267</v>
      </c>
      <c r="D17" s="289">
        <v>6</v>
      </c>
      <c r="E17" s="290" t="s">
        <v>77</v>
      </c>
      <c r="F17" s="290" t="s">
        <v>378</v>
      </c>
      <c r="G17" s="290" t="s">
        <v>155</v>
      </c>
      <c r="H17" s="264" t="str">
        <f>VLOOKUP(E17,MD!$C$6:$K$94,3,0)</f>
        <v>三局專家</v>
      </c>
      <c r="I17" s="273" t="s">
        <v>378</v>
      </c>
      <c r="J17" s="264" t="str">
        <f>VLOOKUP(G17,MD!$C$6:$K$94,3,0)</f>
        <v>SCAA K&amp;L</v>
      </c>
      <c r="K17" s="274">
        <v>0</v>
      </c>
      <c r="L17" s="264">
        <v>0</v>
      </c>
      <c r="M17" s="264">
        <v>42</v>
      </c>
      <c r="N17" s="264">
        <v>2</v>
      </c>
      <c r="O17" s="293" t="s">
        <v>390</v>
      </c>
    </row>
    <row r="18" spans="1:23">
      <c r="A18" s="277"/>
      <c r="B18" s="291">
        <v>13</v>
      </c>
      <c r="C18" s="298" t="s">
        <v>268</v>
      </c>
      <c r="D18" s="299">
        <v>1</v>
      </c>
      <c r="E18" s="269" t="s">
        <v>83</v>
      </c>
      <c r="F18" s="272" t="s">
        <v>378</v>
      </c>
      <c r="G18" s="272" t="s">
        <v>200</v>
      </c>
      <c r="H18" s="264" t="str">
        <f>VLOOKUP(E18,MD!$C$6:$K$94,3,0)</f>
        <v>Alps Handshake</v>
      </c>
      <c r="I18" s="273" t="s">
        <v>378</v>
      </c>
      <c r="J18" s="264" t="str">
        <f>VLOOKUP(G18,MD!$C$6:$K$94,3,0)</f>
        <v>SCAAPY</v>
      </c>
      <c r="K18" s="274">
        <v>2</v>
      </c>
      <c r="L18" s="264">
        <v>42</v>
      </c>
      <c r="M18" s="264">
        <v>0</v>
      </c>
      <c r="N18" s="264">
        <v>0</v>
      </c>
      <c r="O18" s="276" t="s">
        <v>391</v>
      </c>
      <c r="P18" s="275" t="s">
        <v>268</v>
      </c>
      <c r="Q18" s="275" t="s">
        <v>380</v>
      </c>
      <c r="R18" s="276" t="s">
        <v>50</v>
      </c>
      <c r="S18" s="276" t="s">
        <v>381</v>
      </c>
      <c r="T18" s="276" t="s">
        <v>382</v>
      </c>
      <c r="U18" s="276" t="s">
        <v>383</v>
      </c>
      <c r="V18" s="276" t="s">
        <v>61</v>
      </c>
      <c r="W18" s="275"/>
    </row>
    <row r="19" spans="1:23">
      <c r="A19" s="277" t="e">
        <f>IF(#REF!&lt;&gt;#REF!,#REF!,"")</f>
        <v>#REF!</v>
      </c>
      <c r="B19" s="294">
        <v>14</v>
      </c>
      <c r="C19" s="279" t="s">
        <v>268</v>
      </c>
      <c r="D19" s="299">
        <v>2</v>
      </c>
      <c r="E19" s="300" t="s">
        <v>149</v>
      </c>
      <c r="F19" s="281" t="s">
        <v>378</v>
      </c>
      <c r="G19" s="282" t="s">
        <v>178</v>
      </c>
      <c r="H19" s="264" t="str">
        <f>VLOOKUP(E19,MD!$C$6:$K$94,3,0)</f>
        <v>熱情的麻鷹</v>
      </c>
      <c r="I19" s="273" t="s">
        <v>378</v>
      </c>
      <c r="J19" s="264">
        <f>VLOOKUP(G19,MD!$C$6:$K$94,3,0)</f>
        <v>1987.5</v>
      </c>
      <c r="K19" s="274">
        <v>2</v>
      </c>
      <c r="L19" s="264">
        <v>42</v>
      </c>
      <c r="M19" s="264">
        <v>0</v>
      </c>
      <c r="N19" s="264">
        <v>0</v>
      </c>
      <c r="O19" s="276" t="s">
        <v>392</v>
      </c>
      <c r="P19" s="275"/>
      <c r="Q19" s="263">
        <v>1</v>
      </c>
      <c r="R19" s="295" t="s">
        <v>78</v>
      </c>
      <c r="S19" s="283">
        <v>2</v>
      </c>
      <c r="T19" s="283">
        <v>1</v>
      </c>
      <c r="U19" s="283">
        <v>0</v>
      </c>
      <c r="V19" s="283">
        <f>S19*3+T19*1+U19*0</f>
        <v>7</v>
      </c>
      <c r="W19" s="275"/>
    </row>
    <row r="20" spans="1:23">
      <c r="A20" s="277" t="e">
        <f>IF(#REF!&lt;&gt;#REF!,#REF!,"")</f>
        <v>#REF!</v>
      </c>
      <c r="B20" s="294">
        <v>15</v>
      </c>
      <c r="C20" s="301" t="s">
        <v>268</v>
      </c>
      <c r="D20" s="280">
        <v>3</v>
      </c>
      <c r="E20" s="281" t="s">
        <v>83</v>
      </c>
      <c r="F20" s="281" t="s">
        <v>378</v>
      </c>
      <c r="G20" s="281" t="s">
        <v>178</v>
      </c>
      <c r="H20" s="264" t="str">
        <f>VLOOKUP(E20,MD!$C$6:$K$94,3,0)</f>
        <v>Alps Handshake</v>
      </c>
      <c r="I20" s="273" t="s">
        <v>378</v>
      </c>
      <c r="J20" s="264">
        <f>VLOOKUP(G20,MD!$C$6:$K$94,3,0)</f>
        <v>1987.5</v>
      </c>
      <c r="K20" s="274">
        <v>2</v>
      </c>
      <c r="L20" s="264">
        <v>42</v>
      </c>
      <c r="M20" s="264">
        <v>0</v>
      </c>
      <c r="N20" s="264">
        <v>0</v>
      </c>
      <c r="O20" s="276" t="s">
        <v>392</v>
      </c>
      <c r="P20" s="275"/>
      <c r="Q20" s="263">
        <v>2</v>
      </c>
      <c r="R20" s="296" t="s">
        <v>144</v>
      </c>
      <c r="S20" s="283">
        <v>2</v>
      </c>
      <c r="T20" s="283">
        <v>1</v>
      </c>
      <c r="U20" s="283">
        <v>0</v>
      </c>
      <c r="V20" s="283">
        <f>S20*3+T20*1</f>
        <v>7</v>
      </c>
      <c r="W20" s="275"/>
    </row>
    <row r="21" spans="1:23">
      <c r="A21" s="277" t="e">
        <f>IF(#REF!&lt;&gt;#REF!,#REF!,"")</f>
        <v>#REF!</v>
      </c>
      <c r="B21" s="294">
        <v>16</v>
      </c>
      <c r="C21" s="279" t="s">
        <v>268</v>
      </c>
      <c r="D21" s="299">
        <v>4</v>
      </c>
      <c r="E21" s="300" t="s">
        <v>149</v>
      </c>
      <c r="F21" s="281" t="s">
        <v>378</v>
      </c>
      <c r="G21" s="282" t="s">
        <v>200</v>
      </c>
      <c r="H21" s="264" t="str">
        <f>VLOOKUP(E21,MD!$C$6:$K$94,3,0)</f>
        <v>熱情的麻鷹</v>
      </c>
      <c r="I21" s="273" t="s">
        <v>378</v>
      </c>
      <c r="J21" s="264" t="str">
        <f>VLOOKUP(G21,MD!$C$6:$K$94,3,0)</f>
        <v>SCAAPY</v>
      </c>
      <c r="K21" s="274">
        <v>2</v>
      </c>
      <c r="L21" s="264">
        <v>42</v>
      </c>
      <c r="M21" s="264">
        <v>0</v>
      </c>
      <c r="N21" s="264">
        <v>0</v>
      </c>
      <c r="O21" s="276" t="s">
        <v>391</v>
      </c>
      <c r="P21" s="275"/>
      <c r="Q21" s="302"/>
      <c r="R21" s="303">
        <v>1987.5</v>
      </c>
      <c r="S21" s="303"/>
      <c r="T21" s="303"/>
      <c r="U21" s="303"/>
      <c r="V21" s="303">
        <f>S21*3+T21*1</f>
        <v>0</v>
      </c>
      <c r="W21" s="275"/>
    </row>
    <row r="22" spans="1:23">
      <c r="A22" s="277" t="e">
        <f>IF(#REF!&lt;&gt;#REF!,#REF!,"")</f>
        <v>#REF!</v>
      </c>
      <c r="B22" s="291">
        <v>17</v>
      </c>
      <c r="C22" s="279" t="s">
        <v>268</v>
      </c>
      <c r="D22" s="299">
        <v>5</v>
      </c>
      <c r="E22" s="300" t="s">
        <v>178</v>
      </c>
      <c r="F22" s="281" t="s">
        <v>378</v>
      </c>
      <c r="G22" s="282" t="s">
        <v>200</v>
      </c>
      <c r="H22" s="264">
        <f>VLOOKUP(E22,MD!$C$6:$K$94,3,0)</f>
        <v>1987.5</v>
      </c>
      <c r="I22" s="273" t="s">
        <v>378</v>
      </c>
      <c r="J22" s="264" t="str">
        <f>VLOOKUP(G22,MD!$C$6:$K$94,3,0)</f>
        <v>SCAAPY</v>
      </c>
      <c r="K22" s="304" t="s">
        <v>393</v>
      </c>
      <c r="L22" s="273" t="s">
        <v>393</v>
      </c>
      <c r="M22" s="273" t="s">
        <v>393</v>
      </c>
      <c r="N22" s="273" t="s">
        <v>393</v>
      </c>
      <c r="O22" s="276" t="s">
        <v>394</v>
      </c>
      <c r="P22" s="275"/>
      <c r="Q22" s="286"/>
      <c r="R22" s="305" t="s">
        <v>197</v>
      </c>
      <c r="S22" s="287"/>
      <c r="T22" s="287"/>
      <c r="U22" s="287"/>
      <c r="V22" s="287">
        <f>S22*3+T22*1</f>
        <v>0</v>
      </c>
    </row>
    <row r="23" spans="1:23">
      <c r="A23" s="277" t="e">
        <f>IF(#REF!&lt;&gt;#REF!,#REF!,"")</f>
        <v>#REF!</v>
      </c>
      <c r="B23" s="294">
        <v>18</v>
      </c>
      <c r="C23" s="288" t="s">
        <v>268</v>
      </c>
      <c r="D23" s="289">
        <v>6</v>
      </c>
      <c r="E23" s="306" t="s">
        <v>83</v>
      </c>
      <c r="F23" s="290" t="s">
        <v>378</v>
      </c>
      <c r="G23" s="290" t="s">
        <v>149</v>
      </c>
      <c r="H23" s="264" t="str">
        <f>VLOOKUP(E23,MD!$C$6:$K$94,3,0)</f>
        <v>Alps Handshake</v>
      </c>
      <c r="I23" s="273" t="s">
        <v>378</v>
      </c>
      <c r="J23" s="264" t="str">
        <f>VLOOKUP(G23,MD!$C$6:$K$94,3,0)</f>
        <v>熱情的麻鷹</v>
      </c>
      <c r="K23" s="274">
        <v>1</v>
      </c>
      <c r="L23" s="264">
        <f>15+21</f>
        <v>36</v>
      </c>
      <c r="M23" s="264">
        <f>21+8</f>
        <v>29</v>
      </c>
      <c r="N23" s="264">
        <v>1</v>
      </c>
      <c r="O23" s="276" t="s">
        <v>395</v>
      </c>
      <c r="W23" s="275"/>
    </row>
    <row r="24" spans="1:23">
      <c r="A24" s="277" t="e">
        <f>IF(#REF!&lt;&gt;#REF!,#REF!,"")</f>
        <v>#REF!</v>
      </c>
      <c r="B24" s="291">
        <v>19</v>
      </c>
      <c r="C24" s="307" t="s">
        <v>269</v>
      </c>
      <c r="D24" s="299">
        <v>1</v>
      </c>
      <c r="E24" s="300" t="s">
        <v>89</v>
      </c>
      <c r="F24" s="281" t="s">
        <v>378</v>
      </c>
      <c r="G24" s="282" t="s">
        <v>217</v>
      </c>
      <c r="H24" s="264" t="str">
        <f>VLOOKUP(E24,MD!$C$6:$K$94,3,0)</f>
        <v>King Kong</v>
      </c>
      <c r="I24" s="273" t="s">
        <v>378</v>
      </c>
      <c r="J24" s="264" t="str">
        <f>VLOOKUP(G24,MD!$C$6:$K$94,3,0)</f>
        <v>唔守波</v>
      </c>
      <c r="K24" s="274">
        <v>2</v>
      </c>
      <c r="L24" s="264">
        <f>21+21</f>
        <v>42</v>
      </c>
      <c r="M24" s="264">
        <f>16+17</f>
        <v>33</v>
      </c>
      <c r="N24" s="264">
        <v>0</v>
      </c>
      <c r="O24" s="276" t="s">
        <v>396</v>
      </c>
      <c r="P24" s="275" t="s">
        <v>269</v>
      </c>
      <c r="Q24" s="275" t="s">
        <v>380</v>
      </c>
      <c r="R24" s="276" t="s">
        <v>50</v>
      </c>
      <c r="S24" s="276" t="s">
        <v>381</v>
      </c>
      <c r="T24" s="276" t="s">
        <v>382</v>
      </c>
      <c r="U24" s="276" t="s">
        <v>383</v>
      </c>
      <c r="V24" s="276" t="s">
        <v>61</v>
      </c>
      <c r="W24" s="275"/>
    </row>
    <row r="25" spans="1:23">
      <c r="A25" s="277" t="e">
        <f>IF(#REF!&lt;&gt;#REF!,#REF!,"")</f>
        <v>#REF!</v>
      </c>
      <c r="B25" s="294">
        <v>20</v>
      </c>
      <c r="C25" s="279" t="s">
        <v>269</v>
      </c>
      <c r="D25" s="299">
        <v>2</v>
      </c>
      <c r="E25" s="300" t="s">
        <v>143</v>
      </c>
      <c r="F25" s="281" t="s">
        <v>378</v>
      </c>
      <c r="G25" s="282" t="s">
        <v>184</v>
      </c>
      <c r="H25" s="264" t="str">
        <f>VLOOKUP(E25,MD!$C$6:$K$94,3,0)</f>
        <v>我叫你</v>
      </c>
      <c r="I25" s="273" t="s">
        <v>378</v>
      </c>
      <c r="J25" s="264" t="str">
        <f>VLOOKUP(G25,MD!$C$6:$K$94,3,0)</f>
        <v>我愛香港</v>
      </c>
      <c r="K25" s="274">
        <v>1</v>
      </c>
      <c r="L25" s="264">
        <f>20+21</f>
        <v>41</v>
      </c>
      <c r="M25" s="264">
        <f>22+7</f>
        <v>29</v>
      </c>
      <c r="N25" s="264">
        <v>1</v>
      </c>
      <c r="O25" s="276" t="s">
        <v>397</v>
      </c>
      <c r="P25" s="275"/>
      <c r="Q25" s="263">
        <v>1</v>
      </c>
      <c r="R25" s="295" t="s">
        <v>84</v>
      </c>
      <c r="S25" s="283">
        <v>2</v>
      </c>
      <c r="T25" s="283">
        <v>1</v>
      </c>
      <c r="U25" s="283">
        <v>0</v>
      </c>
      <c r="V25" s="283">
        <f>S25*3+T25*1+U25*0</f>
        <v>7</v>
      </c>
      <c r="W25" s="275"/>
    </row>
    <row r="26" spans="1:23">
      <c r="A26" s="277" t="e">
        <f>IF(#REF!&lt;&gt;#REF!,#REF!,"")</f>
        <v>#REF!</v>
      </c>
      <c r="B26" s="294">
        <v>21</v>
      </c>
      <c r="C26" s="301" t="s">
        <v>269</v>
      </c>
      <c r="D26" s="280">
        <v>3</v>
      </c>
      <c r="E26" s="281" t="s">
        <v>89</v>
      </c>
      <c r="F26" s="281" t="s">
        <v>378</v>
      </c>
      <c r="G26" s="281" t="s">
        <v>184</v>
      </c>
      <c r="H26" s="264" t="str">
        <f>VLOOKUP(E26,MD!$C$6:$K$94,3,0)</f>
        <v>King Kong</v>
      </c>
      <c r="I26" s="273" t="s">
        <v>378</v>
      </c>
      <c r="J26" s="264" t="str">
        <f>VLOOKUP(G26,MD!$C$6:$K$94,3,0)</f>
        <v>我愛香港</v>
      </c>
      <c r="K26" s="274">
        <v>2</v>
      </c>
      <c r="L26" s="264">
        <f>21+21</f>
        <v>42</v>
      </c>
      <c r="M26" s="264">
        <f>18+14</f>
        <v>32</v>
      </c>
      <c r="N26" s="264">
        <v>0</v>
      </c>
      <c r="O26" s="276" t="s">
        <v>398</v>
      </c>
      <c r="P26" s="275"/>
      <c r="Q26" s="263">
        <v>2</v>
      </c>
      <c r="R26" s="296" t="s">
        <v>138</v>
      </c>
      <c r="S26" s="283">
        <v>1</v>
      </c>
      <c r="T26" s="283">
        <v>2</v>
      </c>
      <c r="U26" s="283">
        <v>0</v>
      </c>
      <c r="V26" s="283">
        <f>S26*3+T26*1</f>
        <v>5</v>
      </c>
      <c r="W26" s="275"/>
    </row>
    <row r="27" spans="1:23">
      <c r="A27" s="277" t="e">
        <f>IF(#REF!&lt;&gt;#REF!,#REF!,"")</f>
        <v>#REF!</v>
      </c>
      <c r="B27" s="294">
        <v>22</v>
      </c>
      <c r="C27" s="279" t="s">
        <v>269</v>
      </c>
      <c r="D27" s="299">
        <v>4</v>
      </c>
      <c r="E27" s="300" t="s">
        <v>143</v>
      </c>
      <c r="F27" s="281" t="s">
        <v>378</v>
      </c>
      <c r="G27" s="282" t="s">
        <v>217</v>
      </c>
      <c r="H27" s="264" t="str">
        <f>VLOOKUP(E27,MD!$C$6:$K$94,3,0)</f>
        <v>我叫你</v>
      </c>
      <c r="I27" s="273" t="s">
        <v>378</v>
      </c>
      <c r="J27" s="264" t="str">
        <f>VLOOKUP(G27,MD!$C$6:$K$94,3,0)</f>
        <v>唔守波</v>
      </c>
      <c r="K27" s="274">
        <v>2</v>
      </c>
      <c r="L27" s="264">
        <f>21+21</f>
        <v>42</v>
      </c>
      <c r="M27" s="264">
        <f>19+17</f>
        <v>36</v>
      </c>
      <c r="N27" s="264">
        <v>0</v>
      </c>
      <c r="O27" s="276" t="s">
        <v>399</v>
      </c>
      <c r="P27" s="275"/>
      <c r="Q27" s="284">
        <v>3</v>
      </c>
      <c r="R27" s="297" t="s">
        <v>179</v>
      </c>
      <c r="S27" s="285">
        <v>1</v>
      </c>
      <c r="T27" s="285">
        <v>1</v>
      </c>
      <c r="U27" s="285">
        <v>1</v>
      </c>
      <c r="V27" s="285">
        <f>S27*3+T27*1</f>
        <v>4</v>
      </c>
      <c r="W27" s="275"/>
    </row>
    <row r="28" spans="1:23">
      <c r="A28" s="277" t="e">
        <f>IF(#REF!&lt;&gt;#REF!,#REF!,"")</f>
        <v>#REF!</v>
      </c>
      <c r="B28" s="291">
        <v>23</v>
      </c>
      <c r="C28" s="279" t="s">
        <v>269</v>
      </c>
      <c r="D28" s="299">
        <v>5</v>
      </c>
      <c r="E28" s="300" t="s">
        <v>184</v>
      </c>
      <c r="F28" s="281" t="s">
        <v>378</v>
      </c>
      <c r="G28" s="282" t="s">
        <v>217</v>
      </c>
      <c r="H28" s="264" t="str">
        <f>VLOOKUP(E28,MD!$C$6:$K$94,3,0)</f>
        <v>我愛香港</v>
      </c>
      <c r="I28" s="273" t="s">
        <v>378</v>
      </c>
      <c r="J28" s="264" t="str">
        <f>VLOOKUP(G28,MD!$C$6:$K$94,3,0)</f>
        <v>唔守波</v>
      </c>
      <c r="K28" s="274">
        <v>2</v>
      </c>
      <c r="L28" s="264">
        <f>21+21</f>
        <v>42</v>
      </c>
      <c r="M28" s="264">
        <f>16+11</f>
        <v>27</v>
      </c>
      <c r="N28" s="264">
        <v>0</v>
      </c>
      <c r="O28" s="276" t="s">
        <v>400</v>
      </c>
      <c r="P28" s="275"/>
      <c r="Q28" s="263">
        <v>4</v>
      </c>
      <c r="R28" s="296" t="s">
        <v>214</v>
      </c>
      <c r="S28" s="283">
        <v>0</v>
      </c>
      <c r="T28" s="283">
        <v>0</v>
      </c>
      <c r="U28" s="283">
        <v>3</v>
      </c>
      <c r="V28" s="283">
        <f>S28*3+T28*1</f>
        <v>0</v>
      </c>
      <c r="W28" s="275"/>
    </row>
    <row r="29" spans="1:23" ht="16.5" customHeight="1">
      <c r="A29" s="277" t="e">
        <f>IF(#REF!&lt;&gt;#REF!,#REF!,"")</f>
        <v>#REF!</v>
      </c>
      <c r="B29" s="294">
        <v>24</v>
      </c>
      <c r="C29" s="288" t="s">
        <v>269</v>
      </c>
      <c r="D29" s="289">
        <v>6</v>
      </c>
      <c r="E29" s="306" t="s">
        <v>89</v>
      </c>
      <c r="F29" s="290" t="s">
        <v>378</v>
      </c>
      <c r="G29" s="290" t="s">
        <v>143</v>
      </c>
      <c r="H29" s="264" t="str">
        <f>VLOOKUP(E29,MD!$C$6:$K$94,3,0)</f>
        <v>King Kong</v>
      </c>
      <c r="I29" s="273" t="s">
        <v>378</v>
      </c>
      <c r="J29" s="264" t="str">
        <f>VLOOKUP(G29,MD!$C$6:$K$94,3,0)</f>
        <v>我叫你</v>
      </c>
      <c r="K29" s="274">
        <v>1</v>
      </c>
      <c r="L29" s="264">
        <f>21+21</f>
        <v>42</v>
      </c>
      <c r="M29" s="264">
        <f>23+14</f>
        <v>37</v>
      </c>
      <c r="N29" s="264">
        <v>1</v>
      </c>
      <c r="O29" s="276" t="s">
        <v>401</v>
      </c>
      <c r="P29" s="275"/>
      <c r="W29" s="275"/>
    </row>
    <row r="30" spans="1:23">
      <c r="A30" s="277" t="e">
        <f>IF(#REF!&lt;&gt;#REF!,#REF!,"")</f>
        <v>#REF!</v>
      </c>
      <c r="B30" s="291">
        <v>25</v>
      </c>
      <c r="C30" s="279" t="s">
        <v>270</v>
      </c>
      <c r="D30" s="299">
        <v>1</v>
      </c>
      <c r="E30" s="300" t="s">
        <v>95</v>
      </c>
      <c r="F30" s="281" t="s">
        <v>378</v>
      </c>
      <c r="G30" s="282" t="s">
        <v>221</v>
      </c>
      <c r="H30" s="264" t="str">
        <f>VLOOKUP(E30,MD!$C$6:$K$94,3,0)</f>
        <v>SKTL</v>
      </c>
      <c r="I30" s="273" t="s">
        <v>378</v>
      </c>
      <c r="J30" s="264" t="str">
        <f>VLOOKUP(G30,MD!$C$6:$K$94,3,0)</f>
        <v>vvE</v>
      </c>
      <c r="K30" s="274">
        <v>1</v>
      </c>
      <c r="L30" s="264">
        <f>19+21</f>
        <v>40</v>
      </c>
      <c r="M30" s="264">
        <f>21+15</f>
        <v>36</v>
      </c>
      <c r="N30" s="264">
        <v>1</v>
      </c>
      <c r="O30" s="248" t="s">
        <v>402</v>
      </c>
      <c r="P30" s="275" t="s">
        <v>270</v>
      </c>
      <c r="Q30" s="275" t="s">
        <v>380</v>
      </c>
      <c r="R30" s="276" t="s">
        <v>50</v>
      </c>
      <c r="S30" s="276" t="s">
        <v>381</v>
      </c>
      <c r="T30" s="276" t="s">
        <v>382</v>
      </c>
      <c r="U30" s="276" t="s">
        <v>383</v>
      </c>
      <c r="V30" s="276" t="s">
        <v>61</v>
      </c>
      <c r="W30" s="275"/>
    </row>
    <row r="31" spans="1:23">
      <c r="A31" s="277" t="e">
        <f>IF(#REF!&lt;&gt;#REF!,#REF!,"")</f>
        <v>#REF!</v>
      </c>
      <c r="B31" s="294">
        <v>26</v>
      </c>
      <c r="C31" s="279" t="s">
        <v>270</v>
      </c>
      <c r="D31" s="299">
        <v>2</v>
      </c>
      <c r="E31" s="300" t="s">
        <v>137</v>
      </c>
      <c r="F31" s="281" t="s">
        <v>378</v>
      </c>
      <c r="G31" s="282" t="s">
        <v>190</v>
      </c>
      <c r="H31" s="264" t="str">
        <f>VLOOKUP(E31,MD!$C$6:$K$94,3,0)</f>
        <v>小矮人</v>
      </c>
      <c r="I31" s="273" t="s">
        <v>378</v>
      </c>
      <c r="J31" s="264" t="str">
        <f>VLOOKUP(G31,MD!$C$6:$K$94,3,0)</f>
        <v>K-Pak</v>
      </c>
      <c r="K31" s="274">
        <v>2</v>
      </c>
      <c r="L31" s="264">
        <f>21+21</f>
        <v>42</v>
      </c>
      <c r="M31" s="264">
        <f>18+16</f>
        <v>34</v>
      </c>
      <c r="N31" s="264">
        <v>0</v>
      </c>
      <c r="O31" s="248" t="s">
        <v>403</v>
      </c>
      <c r="P31" s="275"/>
      <c r="Q31" s="263">
        <v>1</v>
      </c>
      <c r="R31" s="283" t="s">
        <v>132</v>
      </c>
      <c r="S31" s="283">
        <v>3</v>
      </c>
      <c r="T31" s="283">
        <v>0</v>
      </c>
      <c r="U31" s="283">
        <v>0</v>
      </c>
      <c r="V31" s="283">
        <f>S31*3+T31*1+U31*0</f>
        <v>9</v>
      </c>
      <c r="W31" s="275"/>
    </row>
    <row r="32" spans="1:23">
      <c r="A32" s="277" t="e">
        <f>IF(#REF!&lt;&gt;#REF!,#REF!,"")</f>
        <v>#REF!</v>
      </c>
      <c r="B32" s="294">
        <v>27</v>
      </c>
      <c r="C32" s="279" t="s">
        <v>270</v>
      </c>
      <c r="D32" s="280">
        <v>3</v>
      </c>
      <c r="E32" s="281" t="s">
        <v>95</v>
      </c>
      <c r="F32" s="281" t="s">
        <v>378</v>
      </c>
      <c r="G32" s="281" t="s">
        <v>190</v>
      </c>
      <c r="H32" s="264" t="str">
        <f>VLOOKUP(E32,MD!$C$6:$K$94,3,0)</f>
        <v>SKTL</v>
      </c>
      <c r="I32" s="273" t="s">
        <v>378</v>
      </c>
      <c r="J32" s="264" t="str">
        <f>VLOOKUP(G32,MD!$C$6:$K$94,3,0)</f>
        <v>K-Pak</v>
      </c>
      <c r="K32" s="274">
        <v>2</v>
      </c>
      <c r="L32" s="264">
        <f>21+21</f>
        <v>42</v>
      </c>
      <c r="M32" s="264">
        <f>5+6</f>
        <v>11</v>
      </c>
      <c r="N32" s="264">
        <v>0</v>
      </c>
      <c r="O32" s="248" t="s">
        <v>404</v>
      </c>
      <c r="P32" s="275"/>
      <c r="Q32" s="263">
        <v>2</v>
      </c>
      <c r="R32" s="283" t="s">
        <v>90</v>
      </c>
      <c r="S32" s="283">
        <v>1</v>
      </c>
      <c r="T32" s="283">
        <v>1</v>
      </c>
      <c r="U32" s="283">
        <v>1</v>
      </c>
      <c r="V32" s="283">
        <f>S32*3+T32*1</f>
        <v>4</v>
      </c>
      <c r="W32" s="275"/>
    </row>
    <row r="33" spans="1:23">
      <c r="A33" s="277" t="e">
        <f>IF(#REF!&lt;&gt;#REF!,#REF!,"")</f>
        <v>#REF!</v>
      </c>
      <c r="B33" s="294">
        <v>28</v>
      </c>
      <c r="C33" s="279" t="s">
        <v>270</v>
      </c>
      <c r="D33" s="299">
        <v>4</v>
      </c>
      <c r="E33" s="300" t="s">
        <v>137</v>
      </c>
      <c r="F33" s="281" t="s">
        <v>378</v>
      </c>
      <c r="G33" s="282" t="s">
        <v>221</v>
      </c>
      <c r="H33" s="264" t="str">
        <f>VLOOKUP(E33,MD!$C$6:$K$94,3,0)</f>
        <v>小矮人</v>
      </c>
      <c r="I33" s="273" t="s">
        <v>378</v>
      </c>
      <c r="J33" s="264" t="str">
        <f>VLOOKUP(G33,MD!$C$6:$K$94,3,0)</f>
        <v>vvE</v>
      </c>
      <c r="K33" s="274">
        <v>2</v>
      </c>
      <c r="L33" s="264">
        <f>21+21</f>
        <v>42</v>
      </c>
      <c r="M33" s="264">
        <f>13+10</f>
        <v>23</v>
      </c>
      <c r="N33" s="264">
        <v>0</v>
      </c>
      <c r="O33" s="248" t="s">
        <v>405</v>
      </c>
      <c r="P33" s="275"/>
      <c r="Q33" s="284">
        <v>3</v>
      </c>
      <c r="R33" s="285" t="s">
        <v>185</v>
      </c>
      <c r="S33" s="285">
        <v>1</v>
      </c>
      <c r="T33" s="285">
        <v>0</v>
      </c>
      <c r="U33" s="285">
        <v>2</v>
      </c>
      <c r="V33" s="285">
        <f>S33*3+T33*1</f>
        <v>3</v>
      </c>
      <c r="W33" s="275"/>
    </row>
    <row r="34" spans="1:23">
      <c r="A34" s="277" t="e">
        <f>IF(#REF!&lt;&gt;#REF!,#REF!,"")</f>
        <v>#REF!</v>
      </c>
      <c r="B34" s="291">
        <v>29</v>
      </c>
      <c r="C34" s="279" t="s">
        <v>270</v>
      </c>
      <c r="D34" s="299">
        <v>5</v>
      </c>
      <c r="E34" s="300" t="s">
        <v>190</v>
      </c>
      <c r="F34" s="281" t="s">
        <v>378</v>
      </c>
      <c r="G34" s="282" t="s">
        <v>221</v>
      </c>
      <c r="H34" s="264" t="str">
        <f>VLOOKUP(E34,MD!$C$6:$K$94,3,0)</f>
        <v>K-Pak</v>
      </c>
      <c r="I34" s="273" t="s">
        <v>378</v>
      </c>
      <c r="J34" s="264" t="str">
        <f>VLOOKUP(G34,MD!$C$6:$K$94,3,0)</f>
        <v>vvE</v>
      </c>
      <c r="K34" s="274">
        <v>2</v>
      </c>
      <c r="L34" s="264">
        <f>21+21</f>
        <v>42</v>
      </c>
      <c r="M34" s="264">
        <f>10+12</f>
        <v>22</v>
      </c>
      <c r="N34" s="264">
        <v>0</v>
      </c>
      <c r="O34" s="248" t="s">
        <v>406</v>
      </c>
      <c r="P34" s="275"/>
      <c r="Q34" s="263">
        <v>4</v>
      </c>
      <c r="R34" s="283" t="s">
        <v>218</v>
      </c>
      <c r="S34" s="283">
        <v>0</v>
      </c>
      <c r="T34" s="283">
        <v>1</v>
      </c>
      <c r="U34" s="283">
        <v>2</v>
      </c>
      <c r="V34" s="283">
        <f>S34*3+T34*1</f>
        <v>1</v>
      </c>
      <c r="W34" s="275"/>
    </row>
    <row r="35" spans="1:23">
      <c r="A35" s="277" t="e">
        <f>IF(#REF!&lt;&gt;#REF!,#REF!,"")</f>
        <v>#REF!</v>
      </c>
      <c r="B35" s="294">
        <v>30</v>
      </c>
      <c r="C35" s="288" t="s">
        <v>270</v>
      </c>
      <c r="D35" s="289">
        <v>6</v>
      </c>
      <c r="E35" s="306" t="s">
        <v>95</v>
      </c>
      <c r="F35" s="290" t="s">
        <v>378</v>
      </c>
      <c r="G35" s="290" t="s">
        <v>137</v>
      </c>
      <c r="H35" s="264" t="str">
        <f>VLOOKUP(E35,MD!$C$6:$K$94,3,0)</f>
        <v>SKTL</v>
      </c>
      <c r="I35" s="273" t="s">
        <v>378</v>
      </c>
      <c r="J35" s="264" t="str">
        <f>VLOOKUP(G35,MD!$C$6:$K$94,3,0)</f>
        <v>小矮人</v>
      </c>
      <c r="K35" s="274">
        <v>0</v>
      </c>
      <c r="L35" s="264">
        <f>12+6</f>
        <v>18</v>
      </c>
      <c r="M35" s="264">
        <f>21+21</f>
        <v>42</v>
      </c>
      <c r="N35" s="264">
        <v>2</v>
      </c>
      <c r="O35" s="248" t="s">
        <v>407</v>
      </c>
      <c r="P35" s="275"/>
      <c r="W35" s="275"/>
    </row>
    <row r="36" spans="1:23">
      <c r="A36" s="277" t="e">
        <f>IF(#REF!&lt;&gt;#REF!,#REF!,"")</f>
        <v>#REF!</v>
      </c>
      <c r="B36" s="291">
        <v>31</v>
      </c>
      <c r="C36" s="279" t="s">
        <v>271</v>
      </c>
      <c r="D36" s="299">
        <v>1</v>
      </c>
      <c r="E36" s="269" t="s">
        <v>101</v>
      </c>
      <c r="F36" s="272" t="s">
        <v>378</v>
      </c>
      <c r="G36" s="272" t="s">
        <v>238</v>
      </c>
      <c r="H36" s="264" t="str">
        <f>VLOOKUP(E36,MD!$C$6:$K$94,3,0)</f>
        <v>ALPS_我要買Type R</v>
      </c>
      <c r="I36" s="273" t="s">
        <v>378</v>
      </c>
      <c r="J36" s="264" t="str">
        <f>VLOOKUP(G36,MD!$C$6:$K$94,3,0)</f>
        <v>SCAA CSUN</v>
      </c>
      <c r="K36" s="274">
        <v>2</v>
      </c>
      <c r="L36" s="264">
        <f>21+21</f>
        <v>42</v>
      </c>
      <c r="M36" s="264">
        <f>16+17</f>
        <v>33</v>
      </c>
      <c r="N36" s="264">
        <v>0</v>
      </c>
      <c r="O36" s="276" t="s">
        <v>396</v>
      </c>
      <c r="P36" s="275" t="s">
        <v>271</v>
      </c>
      <c r="Q36" s="275" t="s">
        <v>380</v>
      </c>
      <c r="R36" s="276" t="s">
        <v>50</v>
      </c>
      <c r="S36" s="276" t="s">
        <v>381</v>
      </c>
      <c r="T36" s="276" t="s">
        <v>382</v>
      </c>
      <c r="U36" s="276" t="s">
        <v>383</v>
      </c>
      <c r="V36" s="276" t="s">
        <v>61</v>
      </c>
    </row>
    <row r="37" spans="1:23">
      <c r="A37" s="277" t="e">
        <f>IF(#REF!&lt;&gt;#REF!,#REF!,"")</f>
        <v>#REF!</v>
      </c>
      <c r="B37" s="294">
        <v>32</v>
      </c>
      <c r="C37" s="279" t="s">
        <v>271</v>
      </c>
      <c r="D37" s="299">
        <v>2</v>
      </c>
      <c r="E37" s="300" t="s">
        <v>131</v>
      </c>
      <c r="F37" s="281" t="s">
        <v>378</v>
      </c>
      <c r="G37" s="282" t="s">
        <v>196</v>
      </c>
      <c r="H37" s="264" t="str">
        <f>VLOOKUP(E37,MD!$C$6:$K$94,3,0)</f>
        <v>華青</v>
      </c>
      <c r="I37" s="273" t="s">
        <v>378</v>
      </c>
      <c r="J37" s="264" t="str">
        <f>VLOOKUP(G37,MD!$C$6:$K$94,3,0)</f>
        <v xml:space="preserve">SCAA the chosen one </v>
      </c>
      <c r="K37" s="274">
        <v>2</v>
      </c>
      <c r="L37" s="264">
        <f>21+21</f>
        <v>42</v>
      </c>
      <c r="M37" s="264">
        <f>8+14</f>
        <v>22</v>
      </c>
      <c r="N37" s="264">
        <v>0</v>
      </c>
      <c r="O37" s="276" t="s">
        <v>408</v>
      </c>
      <c r="P37" s="275"/>
      <c r="Q37" s="263">
        <v>1</v>
      </c>
      <c r="R37" s="283" t="s">
        <v>126</v>
      </c>
      <c r="S37" s="283">
        <v>3</v>
      </c>
      <c r="T37" s="283">
        <v>0</v>
      </c>
      <c r="U37" s="283">
        <v>0</v>
      </c>
      <c r="V37" s="283">
        <f>S37*3+T37*1+U37*0</f>
        <v>9</v>
      </c>
      <c r="W37" s="275"/>
    </row>
    <row r="38" spans="1:23">
      <c r="A38" s="277" t="e">
        <f>IF(#REF!&lt;&gt;#REF!,#REF!,"")</f>
        <v>#REF!</v>
      </c>
      <c r="B38" s="294">
        <v>33</v>
      </c>
      <c r="C38" s="279" t="s">
        <v>271</v>
      </c>
      <c r="D38" s="280">
        <v>3</v>
      </c>
      <c r="E38" s="281" t="s">
        <v>101</v>
      </c>
      <c r="F38" s="281" t="s">
        <v>378</v>
      </c>
      <c r="G38" s="281" t="s">
        <v>196</v>
      </c>
      <c r="H38" s="264" t="str">
        <f>VLOOKUP(E38,MD!$C$6:$K$94,3,0)</f>
        <v>ALPS_我要買Type R</v>
      </c>
      <c r="I38" s="273" t="s">
        <v>378</v>
      </c>
      <c r="J38" s="264" t="str">
        <f>VLOOKUP(G38,MD!$C$6:$K$94,3,0)</f>
        <v xml:space="preserve">SCAA the chosen one </v>
      </c>
      <c r="K38" s="274">
        <v>2</v>
      </c>
      <c r="L38" s="264">
        <f>21+21</f>
        <v>42</v>
      </c>
      <c r="M38" s="264">
        <f>17+15</f>
        <v>32</v>
      </c>
      <c r="N38" s="264">
        <v>0</v>
      </c>
      <c r="O38" s="276" t="s">
        <v>409</v>
      </c>
      <c r="P38" s="275"/>
      <c r="Q38" s="263">
        <v>2</v>
      </c>
      <c r="R38" s="295" t="s">
        <v>96</v>
      </c>
      <c r="S38" s="283">
        <v>2</v>
      </c>
      <c r="T38" s="283">
        <v>0</v>
      </c>
      <c r="U38" s="283">
        <v>1</v>
      </c>
      <c r="V38" s="283">
        <f>S38*3+T38*1</f>
        <v>6</v>
      </c>
      <c r="W38" s="308"/>
    </row>
    <row r="39" spans="1:23">
      <c r="A39" s="277" t="e">
        <f>IF(#REF!&lt;&gt;#REF!,#REF!,"")</f>
        <v>#REF!</v>
      </c>
      <c r="B39" s="294">
        <v>34</v>
      </c>
      <c r="C39" s="279" t="s">
        <v>271</v>
      </c>
      <c r="D39" s="299">
        <v>4</v>
      </c>
      <c r="E39" s="300" t="s">
        <v>131</v>
      </c>
      <c r="F39" s="281" t="s">
        <v>378</v>
      </c>
      <c r="G39" s="282" t="s">
        <v>238</v>
      </c>
      <c r="H39" s="264" t="str">
        <f>VLOOKUP(E39,MD!$C$6:$K$94,3,0)</f>
        <v>華青</v>
      </c>
      <c r="I39" s="273" t="s">
        <v>378</v>
      </c>
      <c r="J39" s="264" t="str">
        <f>VLOOKUP(G39,MD!$C$6:$K$94,3,0)</f>
        <v>SCAA CSUN</v>
      </c>
      <c r="K39" s="274">
        <v>2</v>
      </c>
      <c r="L39" s="264">
        <f>21+21</f>
        <v>42</v>
      </c>
      <c r="M39" s="264">
        <f>14+15</f>
        <v>29</v>
      </c>
      <c r="N39" s="264">
        <v>0</v>
      </c>
      <c r="O39" s="276" t="s">
        <v>410</v>
      </c>
      <c r="P39" s="275"/>
      <c r="Q39" s="284">
        <v>3</v>
      </c>
      <c r="R39" s="309" t="s">
        <v>234</v>
      </c>
      <c r="S39" s="285">
        <v>0</v>
      </c>
      <c r="T39" s="285">
        <v>1</v>
      </c>
      <c r="U39" s="285">
        <v>2</v>
      </c>
      <c r="V39" s="285">
        <f>S39*3+T39*1</f>
        <v>1</v>
      </c>
      <c r="W39" s="308"/>
    </row>
    <row r="40" spans="1:23">
      <c r="A40" s="277" t="e">
        <f>IF(#REF!&lt;&gt;#REF!,#REF!,"")</f>
        <v>#REF!</v>
      </c>
      <c r="B40" s="291">
        <v>35</v>
      </c>
      <c r="C40" s="279" t="s">
        <v>271</v>
      </c>
      <c r="D40" s="299">
        <v>5</v>
      </c>
      <c r="E40" s="300" t="s">
        <v>196</v>
      </c>
      <c r="F40" s="281" t="s">
        <v>378</v>
      </c>
      <c r="G40" s="282" t="s">
        <v>238</v>
      </c>
      <c r="H40" s="264" t="str">
        <f>VLOOKUP(E40,MD!$C$6:$K$94,3,0)</f>
        <v xml:space="preserve">SCAA the chosen one </v>
      </c>
      <c r="I40" s="273" t="s">
        <v>378</v>
      </c>
      <c r="J40" s="264" t="str">
        <f>VLOOKUP(G40,MD!$C$6:$K$94,3,0)</f>
        <v>SCAA CSUN</v>
      </c>
      <c r="K40" s="274">
        <v>1</v>
      </c>
      <c r="L40" s="264">
        <f>21+17</f>
        <v>38</v>
      </c>
      <c r="M40" s="264">
        <f>18+21</f>
        <v>39</v>
      </c>
      <c r="N40" s="264">
        <v>1</v>
      </c>
      <c r="O40" s="276" t="s">
        <v>411</v>
      </c>
      <c r="P40" s="275"/>
      <c r="Q40" s="263">
        <v>4</v>
      </c>
      <c r="R40" s="295" t="s">
        <v>412</v>
      </c>
      <c r="S40" s="283">
        <v>0</v>
      </c>
      <c r="T40" s="283">
        <v>1</v>
      </c>
      <c r="U40" s="283">
        <v>2</v>
      </c>
      <c r="V40" s="283">
        <f>S40*3+T40*1</f>
        <v>1</v>
      </c>
      <c r="W40" s="275"/>
    </row>
    <row r="41" spans="1:23">
      <c r="A41" s="277" t="e">
        <f>IF(#REF!&lt;&gt;#REF!,#REF!,"")</f>
        <v>#REF!</v>
      </c>
      <c r="B41" s="294">
        <v>36</v>
      </c>
      <c r="C41" s="288" t="s">
        <v>271</v>
      </c>
      <c r="D41" s="289">
        <v>6</v>
      </c>
      <c r="E41" s="306" t="s">
        <v>101</v>
      </c>
      <c r="F41" s="290" t="s">
        <v>378</v>
      </c>
      <c r="G41" s="290" t="s">
        <v>131</v>
      </c>
      <c r="H41" s="264" t="str">
        <f>VLOOKUP(E41,MD!$C$6:$K$94,3,0)</f>
        <v>ALPS_我要買Type R</v>
      </c>
      <c r="I41" s="273" t="s">
        <v>378</v>
      </c>
      <c r="J41" s="264" t="str">
        <f>VLOOKUP(G41,MD!$C$6:$K$94,3,0)</f>
        <v>華青</v>
      </c>
      <c r="K41" s="274">
        <v>0</v>
      </c>
      <c r="L41" s="264">
        <f>19+8</f>
        <v>27</v>
      </c>
      <c r="M41" s="264">
        <f>21+21</f>
        <v>42</v>
      </c>
      <c r="N41" s="264">
        <v>2</v>
      </c>
      <c r="O41" s="276" t="s">
        <v>413</v>
      </c>
      <c r="P41" s="308"/>
      <c r="Q41" s="310"/>
      <c r="R41" s="310"/>
      <c r="S41" s="310"/>
      <c r="T41" s="310"/>
      <c r="U41" s="310"/>
      <c r="V41" s="310"/>
      <c r="W41" s="308"/>
    </row>
    <row r="42" spans="1:23">
      <c r="A42" s="277" t="e">
        <f>IF(#REF!&lt;&gt;#REF!,#REF!,"")</f>
        <v>#REF!</v>
      </c>
      <c r="B42" s="291">
        <v>37</v>
      </c>
      <c r="C42" s="307" t="s">
        <v>272</v>
      </c>
      <c r="D42" s="299">
        <v>1</v>
      </c>
      <c r="E42" s="269" t="s">
        <v>107</v>
      </c>
      <c r="F42" s="272" t="s">
        <v>378</v>
      </c>
      <c r="G42" s="272" t="s">
        <v>225</v>
      </c>
      <c r="H42" s="264" t="str">
        <f>VLOOKUP(E42,MD!$C$6:$K$94,3,0)</f>
        <v>消防處</v>
      </c>
      <c r="I42" s="273" t="s">
        <v>378</v>
      </c>
      <c r="J42" s="264" t="str">
        <f>VLOOKUP(G42,MD!$C$6:$K$94,3,0)</f>
        <v>浸聖呂</v>
      </c>
      <c r="K42" s="274">
        <v>2</v>
      </c>
      <c r="L42" s="264">
        <f>21+21</f>
        <v>42</v>
      </c>
      <c r="M42" s="264">
        <f>13+15</f>
        <v>28</v>
      </c>
      <c r="N42" s="264">
        <v>0</v>
      </c>
      <c r="O42" s="276" t="s">
        <v>414</v>
      </c>
      <c r="P42" s="275" t="s">
        <v>272</v>
      </c>
      <c r="Q42" s="275" t="s">
        <v>380</v>
      </c>
      <c r="R42" s="276" t="s">
        <v>50</v>
      </c>
      <c r="S42" s="276" t="s">
        <v>381</v>
      </c>
      <c r="T42" s="276" t="s">
        <v>382</v>
      </c>
      <c r="U42" s="276" t="s">
        <v>383</v>
      </c>
      <c r="V42" s="276" t="s">
        <v>61</v>
      </c>
      <c r="W42" s="275"/>
    </row>
    <row r="43" spans="1:23">
      <c r="A43" s="277" t="e">
        <f>IF(#REF!&lt;&gt;#REF!,#REF!,"")</f>
        <v>#REF!</v>
      </c>
      <c r="B43" s="294">
        <v>38</v>
      </c>
      <c r="C43" s="307" t="s">
        <v>272</v>
      </c>
      <c r="D43" s="299">
        <v>2</v>
      </c>
      <c r="E43" s="300" t="s">
        <v>125</v>
      </c>
      <c r="F43" s="281" t="s">
        <v>378</v>
      </c>
      <c r="G43" s="282" t="s">
        <v>213</v>
      </c>
      <c r="H43" s="264" t="str">
        <f>VLOOKUP(E43,MD!$C$6:$K$94,3,0)</f>
        <v>瘸左瘸埋右</v>
      </c>
      <c r="I43" s="273" t="s">
        <v>378</v>
      </c>
      <c r="J43" s="264" t="str">
        <f>VLOOKUP(G43,MD!$C$6:$K$94,3,0)</f>
        <v>美偶</v>
      </c>
      <c r="K43" s="274">
        <v>2</v>
      </c>
      <c r="L43" s="264">
        <f>21+21</f>
        <v>42</v>
      </c>
      <c r="M43" s="264">
        <f>17+11</f>
        <v>28</v>
      </c>
      <c r="N43" s="264">
        <v>0</v>
      </c>
      <c r="O43" s="276" t="s">
        <v>415</v>
      </c>
      <c r="P43" s="308"/>
      <c r="Q43" s="263">
        <v>1</v>
      </c>
      <c r="R43" s="296" t="s">
        <v>102</v>
      </c>
      <c r="S43" s="283">
        <v>3</v>
      </c>
      <c r="T43" s="283">
        <v>0</v>
      </c>
      <c r="U43" s="283">
        <v>0</v>
      </c>
      <c r="V43" s="283">
        <f>S43*3+T43*1+U43*0</f>
        <v>9</v>
      </c>
      <c r="W43" s="308"/>
    </row>
    <row r="44" spans="1:23">
      <c r="A44" s="277" t="e">
        <f>IF(#REF!&lt;&gt;#REF!,#REF!,"")</f>
        <v>#REF!</v>
      </c>
      <c r="B44" s="294">
        <v>39</v>
      </c>
      <c r="C44" s="279" t="s">
        <v>272</v>
      </c>
      <c r="D44" s="280">
        <v>3</v>
      </c>
      <c r="E44" s="281" t="s">
        <v>107</v>
      </c>
      <c r="F44" s="281" t="s">
        <v>378</v>
      </c>
      <c r="G44" s="281" t="s">
        <v>213</v>
      </c>
      <c r="H44" s="264" t="str">
        <f>VLOOKUP(E44,MD!$C$6:$K$94,3,0)</f>
        <v>消防處</v>
      </c>
      <c r="I44" s="273" t="s">
        <v>378</v>
      </c>
      <c r="J44" s="264" t="str">
        <f>VLOOKUP(G44,MD!$C$6:$K$94,3,0)</f>
        <v>美偶</v>
      </c>
      <c r="K44" s="274">
        <v>2</v>
      </c>
      <c r="L44" s="264">
        <f>21+21</f>
        <v>42</v>
      </c>
      <c r="M44" s="264">
        <f>7+9</f>
        <v>16</v>
      </c>
      <c r="N44" s="264">
        <v>0</v>
      </c>
      <c r="O44" s="276" t="s">
        <v>416</v>
      </c>
      <c r="P44" s="308"/>
      <c r="Q44" s="263">
        <v>2</v>
      </c>
      <c r="R44" s="296" t="s">
        <v>120</v>
      </c>
      <c r="S44" s="283">
        <v>2</v>
      </c>
      <c r="T44" s="283">
        <v>0</v>
      </c>
      <c r="U44" s="283">
        <v>1</v>
      </c>
      <c r="V44" s="283">
        <f>S44*3+T44*1</f>
        <v>6</v>
      </c>
      <c r="W44" s="308"/>
    </row>
    <row r="45" spans="1:23">
      <c r="A45" s="277" t="e">
        <f>IF(#REF!&lt;&gt;#REF!,#REF!,"")</f>
        <v>#REF!</v>
      </c>
      <c r="B45" s="294">
        <v>40</v>
      </c>
      <c r="C45" s="307" t="s">
        <v>272</v>
      </c>
      <c r="D45" s="299">
        <v>4</v>
      </c>
      <c r="E45" s="300" t="s">
        <v>125</v>
      </c>
      <c r="F45" s="281" t="s">
        <v>378</v>
      </c>
      <c r="G45" s="282" t="s">
        <v>225</v>
      </c>
      <c r="H45" s="264" t="str">
        <f>VLOOKUP(E45,MD!$C$6:$K$94,3,0)</f>
        <v>瘸左瘸埋右</v>
      </c>
      <c r="I45" s="273" t="s">
        <v>378</v>
      </c>
      <c r="J45" s="264" t="str">
        <f>VLOOKUP(G45,MD!$C$6:$K$94,3,0)</f>
        <v>浸聖呂</v>
      </c>
      <c r="K45" s="274">
        <v>2</v>
      </c>
      <c r="L45" s="264">
        <f>21+21</f>
        <v>42</v>
      </c>
      <c r="M45" s="264">
        <f>18+17</f>
        <v>35</v>
      </c>
      <c r="N45" s="264">
        <v>0</v>
      </c>
      <c r="O45" s="276" t="s">
        <v>417</v>
      </c>
      <c r="P45" s="308"/>
      <c r="Q45" s="284">
        <v>3</v>
      </c>
      <c r="R45" s="297" t="s">
        <v>222</v>
      </c>
      <c r="S45" s="285">
        <v>0</v>
      </c>
      <c r="T45" s="285">
        <v>1</v>
      </c>
      <c r="U45" s="285">
        <v>2</v>
      </c>
      <c r="V45" s="285">
        <f>S45*3+T45*1</f>
        <v>1</v>
      </c>
      <c r="W45" s="308"/>
    </row>
    <row r="46" spans="1:23">
      <c r="B46" s="291">
        <v>41</v>
      </c>
      <c r="C46" s="307" t="s">
        <v>272</v>
      </c>
      <c r="D46" s="299">
        <v>5</v>
      </c>
      <c r="E46" s="300" t="s">
        <v>213</v>
      </c>
      <c r="F46" s="281" t="s">
        <v>378</v>
      </c>
      <c r="G46" s="282" t="s">
        <v>225</v>
      </c>
      <c r="H46" s="264" t="str">
        <f>VLOOKUP(E46,MD!$C$6:$K$94,3,0)</f>
        <v>美偶</v>
      </c>
      <c r="I46" s="273" t="s">
        <v>378</v>
      </c>
      <c r="J46" s="264" t="str">
        <f>VLOOKUP(G46,MD!$C$6:$K$94,3,0)</f>
        <v>浸聖呂</v>
      </c>
      <c r="K46" s="274">
        <v>1</v>
      </c>
      <c r="L46" s="264">
        <f>23+19</f>
        <v>42</v>
      </c>
      <c r="M46" s="264">
        <f>21+21</f>
        <v>42</v>
      </c>
      <c r="N46" s="264">
        <v>1</v>
      </c>
      <c r="O46" s="276" t="s">
        <v>418</v>
      </c>
      <c r="P46" s="308"/>
      <c r="Q46" s="263">
        <v>4</v>
      </c>
      <c r="R46" s="296" t="s">
        <v>210</v>
      </c>
      <c r="S46" s="283">
        <v>0</v>
      </c>
      <c r="T46" s="283">
        <v>1</v>
      </c>
      <c r="U46" s="283">
        <v>2</v>
      </c>
      <c r="V46" s="283">
        <f>S46*3+T46*1</f>
        <v>1</v>
      </c>
      <c r="W46" s="308"/>
    </row>
    <row r="47" spans="1:23">
      <c r="B47" s="294">
        <v>42</v>
      </c>
      <c r="C47" s="288" t="s">
        <v>272</v>
      </c>
      <c r="D47" s="289">
        <v>6</v>
      </c>
      <c r="E47" s="306" t="s">
        <v>107</v>
      </c>
      <c r="F47" s="290" t="s">
        <v>378</v>
      </c>
      <c r="G47" s="290" t="s">
        <v>125</v>
      </c>
      <c r="H47" s="264" t="str">
        <f>VLOOKUP(E47,MD!$C$6:$K$94,3,0)</f>
        <v>消防處</v>
      </c>
      <c r="I47" s="273" t="s">
        <v>378</v>
      </c>
      <c r="J47" s="264" t="str">
        <f>VLOOKUP(G47,MD!$C$6:$K$94,3,0)</f>
        <v>瘸左瘸埋右</v>
      </c>
      <c r="K47" s="274">
        <v>2</v>
      </c>
      <c r="L47" s="264">
        <f>21+24</f>
        <v>45</v>
      </c>
      <c r="M47" s="264">
        <f>19+22</f>
        <v>41</v>
      </c>
      <c r="N47" s="264">
        <v>0</v>
      </c>
      <c r="O47" s="276" t="s">
        <v>419</v>
      </c>
      <c r="P47" s="308"/>
      <c r="W47" s="275"/>
    </row>
    <row r="48" spans="1:23">
      <c r="B48" s="291">
        <v>43</v>
      </c>
      <c r="C48" s="307" t="s">
        <v>273</v>
      </c>
      <c r="D48" s="299">
        <v>1</v>
      </c>
      <c r="E48" s="300" t="s">
        <v>113</v>
      </c>
      <c r="F48" s="281" t="s">
        <v>378</v>
      </c>
      <c r="G48" s="282" t="s">
        <v>233</v>
      </c>
      <c r="H48" s="264" t="str">
        <f>VLOOKUP(E48,MD!$C$6:$K$94,3,0)</f>
        <v>紅藍</v>
      </c>
      <c r="I48" s="273" t="s">
        <v>378</v>
      </c>
      <c r="J48" s="264" t="str">
        <f>VLOOKUP(G48,MD!$C$6:$K$94,3,0)</f>
        <v>呂郭碧鳳</v>
      </c>
      <c r="K48" s="274">
        <v>2</v>
      </c>
      <c r="L48" s="264">
        <f>21+21</f>
        <v>42</v>
      </c>
      <c r="M48" s="264">
        <f>11+8</f>
        <v>19</v>
      </c>
      <c r="N48" s="264">
        <v>0</v>
      </c>
      <c r="O48" s="276" t="s">
        <v>420</v>
      </c>
      <c r="P48" s="275" t="s">
        <v>273</v>
      </c>
      <c r="Q48" s="275" t="s">
        <v>380</v>
      </c>
      <c r="R48" s="276" t="s">
        <v>50</v>
      </c>
      <c r="S48" s="276" t="s">
        <v>381</v>
      </c>
      <c r="T48" s="276" t="s">
        <v>382</v>
      </c>
      <c r="U48" s="276" t="s">
        <v>383</v>
      </c>
      <c r="V48" s="276" t="s">
        <v>61</v>
      </c>
    </row>
    <row r="49" spans="2:22">
      <c r="B49" s="294">
        <v>44</v>
      </c>
      <c r="C49" s="307" t="s">
        <v>273</v>
      </c>
      <c r="D49" s="299">
        <v>2</v>
      </c>
      <c r="E49" s="300" t="s">
        <v>119</v>
      </c>
      <c r="F49" s="281" t="s">
        <v>378</v>
      </c>
      <c r="G49" s="282" t="s">
        <v>205</v>
      </c>
      <c r="H49" s="264" t="str">
        <f>VLOOKUP(E49,MD!$C$6:$K$94,3,0)</f>
        <v>撈碧鵰</v>
      </c>
      <c r="I49" s="273" t="s">
        <v>378</v>
      </c>
      <c r="J49" s="264" t="str">
        <f>VLOOKUP(G49,MD!$C$6:$K$94,3,0)</f>
        <v>For&amp;Ray</v>
      </c>
      <c r="K49" s="274">
        <v>0</v>
      </c>
      <c r="L49" s="264">
        <f>11+19</f>
        <v>30</v>
      </c>
      <c r="M49" s="264">
        <f>21+21</f>
        <v>42</v>
      </c>
      <c r="N49" s="264">
        <v>2</v>
      </c>
      <c r="O49" s="276" t="s">
        <v>421</v>
      </c>
      <c r="Q49" s="263">
        <v>1</v>
      </c>
      <c r="R49" s="295" t="s">
        <v>202</v>
      </c>
      <c r="S49" s="283">
        <v>3</v>
      </c>
      <c r="T49" s="283">
        <v>0</v>
      </c>
      <c r="U49" s="283">
        <v>0</v>
      </c>
      <c r="V49" s="283">
        <f>S49*3+T49*1+U49*0</f>
        <v>9</v>
      </c>
    </row>
    <row r="50" spans="2:22">
      <c r="B50" s="294">
        <v>45</v>
      </c>
      <c r="C50" s="279" t="s">
        <v>273</v>
      </c>
      <c r="D50" s="280">
        <v>3</v>
      </c>
      <c r="E50" s="281" t="s">
        <v>113</v>
      </c>
      <c r="F50" s="281" t="s">
        <v>378</v>
      </c>
      <c r="G50" s="281" t="s">
        <v>205</v>
      </c>
      <c r="H50" s="264" t="str">
        <f>VLOOKUP(E50,MD!$C$6:$K$94,3,0)</f>
        <v>紅藍</v>
      </c>
      <c r="I50" s="273" t="s">
        <v>378</v>
      </c>
      <c r="J50" s="264" t="str">
        <f>VLOOKUP(G50,MD!$C$6:$K$94,3,0)</f>
        <v>For&amp;Ray</v>
      </c>
      <c r="K50" s="274">
        <v>0</v>
      </c>
      <c r="L50" s="264">
        <v>0</v>
      </c>
      <c r="M50" s="264">
        <f>21+21</f>
        <v>42</v>
      </c>
      <c r="N50" s="264">
        <v>2</v>
      </c>
      <c r="O50" s="293" t="s">
        <v>422</v>
      </c>
      <c r="P50" s="275"/>
      <c r="Q50" s="263">
        <v>2</v>
      </c>
      <c r="R50" s="296" t="s">
        <v>114</v>
      </c>
      <c r="S50" s="283">
        <v>2</v>
      </c>
      <c r="T50" s="283">
        <v>0</v>
      </c>
      <c r="U50" s="283">
        <v>1</v>
      </c>
      <c r="V50" s="283">
        <f>S50*3+T50*1+U50*0</f>
        <v>6</v>
      </c>
    </row>
    <row r="51" spans="2:22">
      <c r="B51" s="294">
        <v>46</v>
      </c>
      <c r="C51" s="307" t="s">
        <v>273</v>
      </c>
      <c r="D51" s="299">
        <v>4</v>
      </c>
      <c r="E51" s="300" t="s">
        <v>119</v>
      </c>
      <c r="F51" s="281" t="s">
        <v>378</v>
      </c>
      <c r="G51" s="282" t="s">
        <v>233</v>
      </c>
      <c r="H51" s="264" t="str">
        <f>VLOOKUP(E51,MD!$C$6:$K$94,3,0)</f>
        <v>撈碧鵰</v>
      </c>
      <c r="I51" s="273" t="s">
        <v>378</v>
      </c>
      <c r="J51" s="264" t="str">
        <f>VLOOKUP(G51,MD!$C$6:$K$94,3,0)</f>
        <v>呂郭碧鳳</v>
      </c>
      <c r="K51" s="274">
        <v>2</v>
      </c>
      <c r="L51" s="264">
        <v>42</v>
      </c>
      <c r="M51" s="264">
        <v>0</v>
      </c>
      <c r="N51" s="264">
        <v>0</v>
      </c>
      <c r="O51" s="293" t="s">
        <v>423</v>
      </c>
      <c r="Q51" s="284">
        <v>3</v>
      </c>
      <c r="R51" s="297" t="s">
        <v>108</v>
      </c>
      <c r="S51" s="285">
        <v>1</v>
      </c>
      <c r="T51" s="285">
        <v>0</v>
      </c>
      <c r="U51" s="285">
        <v>2</v>
      </c>
      <c r="V51" s="285">
        <f>S51*3+T51*1+U51*0</f>
        <v>3</v>
      </c>
    </row>
    <row r="52" spans="2:22">
      <c r="B52" s="291">
        <v>47</v>
      </c>
      <c r="C52" s="307" t="s">
        <v>273</v>
      </c>
      <c r="D52" s="299">
        <v>5</v>
      </c>
      <c r="E52" s="300" t="s">
        <v>205</v>
      </c>
      <c r="F52" s="281" t="s">
        <v>378</v>
      </c>
      <c r="G52" s="282" t="s">
        <v>233</v>
      </c>
      <c r="H52" s="264" t="str">
        <f>VLOOKUP(E52,MD!$C$6:$K$94,3,0)</f>
        <v>For&amp;Ray</v>
      </c>
      <c r="I52" s="273" t="s">
        <v>378</v>
      </c>
      <c r="J52" s="264" t="str">
        <f>VLOOKUP(G52,MD!$C$6:$K$94,3,0)</f>
        <v>呂郭碧鳳</v>
      </c>
      <c r="K52" s="274">
        <v>2</v>
      </c>
      <c r="L52" s="264">
        <v>42</v>
      </c>
      <c r="M52" s="264">
        <v>0</v>
      </c>
      <c r="N52" s="264">
        <v>0</v>
      </c>
      <c r="O52" s="293" t="s">
        <v>423</v>
      </c>
      <c r="Q52" s="263">
        <v>4</v>
      </c>
      <c r="R52" s="296" t="s">
        <v>230</v>
      </c>
      <c r="S52" s="283">
        <v>0</v>
      </c>
      <c r="T52" s="283">
        <v>0</v>
      </c>
      <c r="U52" s="283">
        <v>3</v>
      </c>
      <c r="V52" s="283">
        <f>S52*3+T52*1</f>
        <v>0</v>
      </c>
    </row>
    <row r="53" spans="2:22">
      <c r="B53" s="294">
        <v>48</v>
      </c>
      <c r="C53" s="311" t="s">
        <v>273</v>
      </c>
      <c r="D53" s="289">
        <v>6</v>
      </c>
      <c r="E53" s="306" t="s">
        <v>113</v>
      </c>
      <c r="F53" s="290" t="s">
        <v>378</v>
      </c>
      <c r="G53" s="290" t="s">
        <v>119</v>
      </c>
      <c r="H53" s="264" t="str">
        <f>VLOOKUP(E53,MD!$C$6:$K$94,3,0)</f>
        <v>紅藍</v>
      </c>
      <c r="I53" s="273" t="s">
        <v>378</v>
      </c>
      <c r="J53" s="264" t="str">
        <f>VLOOKUP(G53,MD!$C$6:$K$94,3,0)</f>
        <v>撈碧鵰</v>
      </c>
      <c r="K53" s="274">
        <v>0</v>
      </c>
      <c r="L53" s="264">
        <v>0</v>
      </c>
      <c r="M53" s="264">
        <f>21+21</f>
        <v>42</v>
      </c>
      <c r="N53" s="264">
        <v>2</v>
      </c>
      <c r="O53" s="293" t="s">
        <v>422</v>
      </c>
    </row>
    <row r="54" spans="2:22">
      <c r="H54" s="312"/>
      <c r="I54" s="312"/>
      <c r="J54" s="312"/>
      <c r="P54" s="310"/>
    </row>
    <row r="67" spans="16:23">
      <c r="Q67" s="310"/>
      <c r="R67" s="310"/>
      <c r="S67" s="310"/>
      <c r="T67" s="310"/>
      <c r="U67" s="310"/>
      <c r="V67" s="310"/>
      <c r="W67" s="310"/>
    </row>
    <row r="68" spans="16:23">
      <c r="P68" s="310"/>
    </row>
    <row r="69" spans="16:23">
      <c r="P69" s="310"/>
    </row>
    <row r="70" spans="16:23">
      <c r="P70" s="310"/>
    </row>
    <row r="71" spans="16:23">
      <c r="P71" s="310"/>
    </row>
    <row r="81" spans="16:23">
      <c r="Q81" s="310"/>
      <c r="R81" s="310"/>
      <c r="S81" s="310"/>
      <c r="T81" s="310"/>
      <c r="U81" s="310"/>
      <c r="V81" s="310"/>
      <c r="W81" s="310"/>
    </row>
    <row r="82" spans="16:23">
      <c r="P82" s="310"/>
      <c r="Q82" s="310"/>
      <c r="R82" s="310"/>
      <c r="S82" s="310"/>
      <c r="T82" s="310"/>
      <c r="U82" s="310"/>
      <c r="V82" s="310"/>
      <c r="W82" s="310"/>
    </row>
    <row r="83" spans="16:23">
      <c r="P83" s="310"/>
      <c r="Q83" s="310"/>
      <c r="R83" s="310"/>
      <c r="S83" s="310"/>
      <c r="T83" s="310"/>
      <c r="U83" s="310"/>
      <c r="V83" s="310"/>
      <c r="W83" s="310"/>
    </row>
    <row r="84" spans="16:23">
      <c r="P84" s="310"/>
      <c r="Q84" s="310"/>
      <c r="R84" s="310"/>
      <c r="S84" s="310"/>
      <c r="T84" s="310"/>
      <c r="U84" s="310"/>
      <c r="V84" s="310"/>
      <c r="W84" s="310"/>
    </row>
    <row r="85" spans="16:23">
      <c r="P85" s="310"/>
    </row>
  </sheetData>
  <mergeCells count="4">
    <mergeCell ref="C4:D4"/>
    <mergeCell ref="E4:G4"/>
    <mergeCell ref="C5:D5"/>
    <mergeCell ref="E5:G5"/>
  </mergeCells>
  <printOptions horizontalCentered="1" verticalCentered="1"/>
  <pageMargins left="0.32986111111111099" right="0.37013888888888902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72"/>
  <sheetViews>
    <sheetView tabSelected="1" topLeftCell="E1" zoomScale="75" zoomScaleNormal="75" workbookViewId="0">
      <selection activeCell="T12" sqref="T12"/>
    </sheetView>
  </sheetViews>
  <sheetFormatPr defaultRowHeight="22.5"/>
  <cols>
    <col min="1" max="1" width="3.6640625" style="313" customWidth="1"/>
    <col min="2" max="4" width="9" style="313" customWidth="1"/>
    <col min="5" max="5" width="26.109375" style="314" customWidth="1"/>
    <col min="6" max="6" width="17.5546875" style="314" customWidth="1"/>
    <col min="7" max="7" width="11.77734375" style="314" customWidth="1"/>
    <col min="8" max="8" width="7.33203125" style="314" customWidth="1"/>
    <col min="9" max="9" width="17.5546875" style="314" customWidth="1"/>
    <col min="10" max="10" width="11.77734375" style="314" customWidth="1"/>
    <col min="11" max="11" width="8.6640625" style="314" customWidth="1"/>
    <col min="12" max="12" width="7.21875" style="314" customWidth="1"/>
    <col min="13" max="13" width="15.21875" style="313" customWidth="1"/>
    <col min="14" max="14" width="18.6640625" style="30" customWidth="1"/>
    <col min="15" max="15" width="17.5546875" style="313" customWidth="1"/>
    <col min="16" max="16" width="23.109375" style="313" hidden="1" customWidth="1"/>
    <col min="17" max="17" width="17.6640625" style="313" hidden="1" customWidth="1"/>
    <col min="18" max="18" width="15.88671875" style="313" hidden="1" customWidth="1"/>
    <col min="19" max="19" width="18.21875" style="313" hidden="1" customWidth="1"/>
    <col min="20" max="1025" width="7.6640625" style="313" customWidth="1"/>
  </cols>
  <sheetData>
    <row r="1" spans="1:19" ht="21" customHeight="1">
      <c r="A1" s="310"/>
      <c r="B1" s="315" t="s">
        <v>45</v>
      </c>
      <c r="C1" s="316"/>
      <c r="D1" s="316"/>
      <c r="E1" s="30"/>
      <c r="F1" s="32"/>
      <c r="G1" s="32"/>
      <c r="H1" s="32"/>
      <c r="I1" s="32"/>
      <c r="J1" s="32"/>
      <c r="K1" s="32"/>
      <c r="L1" s="32"/>
      <c r="M1" s="317"/>
      <c r="O1" s="310"/>
      <c r="P1" s="310"/>
      <c r="Q1" s="310"/>
    </row>
    <row r="2" spans="1:19" ht="21" customHeight="1">
      <c r="A2" s="310"/>
      <c r="B2" s="318" t="s">
        <v>46</v>
      </c>
      <c r="C2" s="318"/>
      <c r="D2" s="318"/>
      <c r="E2" s="32"/>
      <c r="F2" s="32"/>
      <c r="G2" s="32"/>
      <c r="H2" s="32"/>
      <c r="I2" s="32"/>
      <c r="J2" s="32"/>
      <c r="K2" s="33"/>
      <c r="L2" s="33"/>
      <c r="M2" s="317"/>
      <c r="O2" s="310"/>
      <c r="P2" s="310"/>
      <c r="Q2" s="310"/>
    </row>
    <row r="3" spans="1:19" ht="21" customHeight="1">
      <c r="A3" s="310"/>
      <c r="B3" s="319" t="s">
        <v>424</v>
      </c>
      <c r="C3" s="320"/>
      <c r="D3" s="320"/>
      <c r="E3" s="30"/>
      <c r="F3" s="33"/>
      <c r="G3" s="33"/>
      <c r="H3" s="33"/>
      <c r="I3" s="33"/>
      <c r="J3" s="33"/>
      <c r="K3" s="33"/>
      <c r="L3" s="33"/>
      <c r="M3" s="321"/>
      <c r="N3" s="39"/>
      <c r="O3" s="322"/>
      <c r="P3" s="310"/>
      <c r="Q3" s="310"/>
    </row>
    <row r="4" spans="1:19" ht="21" customHeight="1">
      <c r="A4" s="310"/>
      <c r="B4" s="323" t="s">
        <v>48</v>
      </c>
      <c r="C4" s="324" t="s">
        <v>49</v>
      </c>
      <c r="D4" s="325" t="s">
        <v>50</v>
      </c>
      <c r="E4" s="326" t="s">
        <v>51</v>
      </c>
      <c r="F4" s="327"/>
      <c r="G4" s="328"/>
      <c r="H4" s="329" t="s">
        <v>52</v>
      </c>
      <c r="I4" s="327"/>
      <c r="J4" s="328"/>
      <c r="K4" s="329" t="s">
        <v>52</v>
      </c>
      <c r="L4" s="330" t="s">
        <v>53</v>
      </c>
      <c r="M4" s="326" t="s">
        <v>54</v>
      </c>
      <c r="N4" s="59"/>
      <c r="O4" s="73"/>
      <c r="P4" s="310"/>
      <c r="Q4" s="310"/>
    </row>
    <row r="5" spans="1:19" ht="21" customHeight="1">
      <c r="A5" s="310"/>
      <c r="B5" s="331" t="s">
        <v>55</v>
      </c>
      <c r="C5" s="332" t="s">
        <v>56</v>
      </c>
      <c r="D5" s="333" t="s">
        <v>57</v>
      </c>
      <c r="E5" s="334" t="s">
        <v>58</v>
      </c>
      <c r="F5" s="335" t="s">
        <v>425</v>
      </c>
      <c r="G5" s="335" t="s">
        <v>60</v>
      </c>
      <c r="H5" s="336" t="s">
        <v>61</v>
      </c>
      <c r="I5" s="335" t="s">
        <v>426</v>
      </c>
      <c r="J5" s="335" t="s">
        <v>60</v>
      </c>
      <c r="K5" s="336" t="s">
        <v>61</v>
      </c>
      <c r="L5" s="337" t="s">
        <v>61</v>
      </c>
      <c r="M5" s="338" t="s">
        <v>56</v>
      </c>
      <c r="N5" s="339"/>
      <c r="O5" s="340" t="s">
        <v>63</v>
      </c>
      <c r="P5" s="341" t="s">
        <v>64</v>
      </c>
      <c r="Q5" s="342" t="s">
        <v>65</v>
      </c>
      <c r="R5" s="60" t="s">
        <v>64</v>
      </c>
      <c r="S5" s="61" t="s">
        <v>65</v>
      </c>
    </row>
    <row r="6" spans="1:19" ht="20.100000000000001" customHeight="1">
      <c r="A6" s="343"/>
      <c r="B6" s="344">
        <v>1</v>
      </c>
      <c r="C6" s="345" t="str">
        <f t="shared" ref="C6:C37" si="0">M6</f>
        <v>A1</v>
      </c>
      <c r="D6" s="345">
        <v>1</v>
      </c>
      <c r="E6" s="346" t="s">
        <v>427</v>
      </c>
      <c r="F6" s="346" t="s">
        <v>428</v>
      </c>
      <c r="G6" s="345" t="s">
        <v>429</v>
      </c>
      <c r="H6" s="347">
        <v>45</v>
      </c>
      <c r="I6" s="346" t="s">
        <v>430</v>
      </c>
      <c r="J6" s="345" t="s">
        <v>431</v>
      </c>
      <c r="K6" s="347">
        <v>45</v>
      </c>
      <c r="L6" s="348">
        <f t="shared" ref="L6:L24" si="1">H6+K6</f>
        <v>90</v>
      </c>
      <c r="M6" s="349" t="s">
        <v>71</v>
      </c>
      <c r="N6" s="89"/>
      <c r="O6" s="90"/>
      <c r="P6" s="350" t="e">
        <f>VLOOKUP(E6,WBFormat!N$36:O$54,2,0)</f>
        <v>#N/A</v>
      </c>
      <c r="Q6" s="350" t="e">
        <f t="shared" ref="Q6:Q24" si="2">P6/2</f>
        <v>#N/A</v>
      </c>
      <c r="R6" s="314"/>
      <c r="S6" s="314">
        <f t="shared" ref="S6:S18" si="3">R6/2</f>
        <v>0</v>
      </c>
    </row>
    <row r="7" spans="1:19" ht="20.100000000000001" customHeight="1">
      <c r="A7" s="343"/>
      <c r="B7" s="351">
        <v>2</v>
      </c>
      <c r="C7" s="73" t="str">
        <f t="shared" si="0"/>
        <v>B1</v>
      </c>
      <c r="D7" s="73">
        <v>2</v>
      </c>
      <c r="E7" s="352" t="s">
        <v>432</v>
      </c>
      <c r="F7" s="353" t="s">
        <v>433</v>
      </c>
      <c r="G7" s="352" t="s">
        <v>434</v>
      </c>
      <c r="H7" s="354">
        <v>41.25</v>
      </c>
      <c r="I7" s="353" t="s">
        <v>435</v>
      </c>
      <c r="J7" s="352" t="s">
        <v>436</v>
      </c>
      <c r="K7" s="354">
        <v>41.25</v>
      </c>
      <c r="L7" s="355">
        <f t="shared" si="1"/>
        <v>82.5</v>
      </c>
      <c r="M7" s="356" t="s">
        <v>77</v>
      </c>
      <c r="N7" s="72"/>
      <c r="O7" s="73"/>
      <c r="P7" s="350" t="e">
        <f>VLOOKUP(E7,WBFormat!N$36:O$54,2,0)</f>
        <v>#N/A</v>
      </c>
      <c r="Q7" s="350" t="e">
        <f t="shared" si="2"/>
        <v>#N/A</v>
      </c>
      <c r="R7" s="314">
        <v>60</v>
      </c>
      <c r="S7" s="314">
        <f t="shared" si="3"/>
        <v>30</v>
      </c>
    </row>
    <row r="8" spans="1:19" ht="20.100000000000001" customHeight="1">
      <c r="A8" s="343"/>
      <c r="B8" s="351">
        <v>3</v>
      </c>
      <c r="C8" s="73" t="str">
        <f t="shared" si="0"/>
        <v>C1</v>
      </c>
      <c r="D8" s="73">
        <v>3</v>
      </c>
      <c r="E8" s="352" t="s">
        <v>437</v>
      </c>
      <c r="F8" s="353" t="s">
        <v>438</v>
      </c>
      <c r="G8" s="76" t="s">
        <v>439</v>
      </c>
      <c r="H8" s="354">
        <v>30</v>
      </c>
      <c r="I8" s="353" t="s">
        <v>440</v>
      </c>
      <c r="J8" s="352" t="s">
        <v>441</v>
      </c>
      <c r="K8" s="354">
        <v>30</v>
      </c>
      <c r="L8" s="355">
        <f t="shared" si="1"/>
        <v>60</v>
      </c>
      <c r="M8" s="356" t="s">
        <v>83</v>
      </c>
      <c r="N8" s="72"/>
      <c r="O8" s="73"/>
      <c r="P8" s="350" t="e">
        <f>VLOOKUP(E8,WBFormat!N$36:O$54,2,0)</f>
        <v>#N/A</v>
      </c>
      <c r="Q8" s="350" t="e">
        <f t="shared" si="2"/>
        <v>#N/A</v>
      </c>
      <c r="R8" s="314"/>
      <c r="S8" s="314">
        <f t="shared" si="3"/>
        <v>0</v>
      </c>
    </row>
    <row r="9" spans="1:19" ht="20.100000000000001" customHeight="1">
      <c r="A9" s="343"/>
      <c r="B9" s="351">
        <v>4</v>
      </c>
      <c r="C9" s="73" t="str">
        <f t="shared" si="0"/>
        <v>D1</v>
      </c>
      <c r="D9" s="73">
        <v>4</v>
      </c>
      <c r="E9" s="353" t="s">
        <v>442</v>
      </c>
      <c r="F9" s="353" t="s">
        <v>443</v>
      </c>
      <c r="G9" s="352" t="s">
        <v>444</v>
      </c>
      <c r="H9" s="354">
        <v>45</v>
      </c>
      <c r="I9" s="353" t="s">
        <v>445</v>
      </c>
      <c r="J9" s="357" t="s">
        <v>195</v>
      </c>
      <c r="K9" s="354">
        <v>0</v>
      </c>
      <c r="L9" s="355">
        <f t="shared" si="1"/>
        <v>45</v>
      </c>
      <c r="M9" s="356" t="s">
        <v>89</v>
      </c>
      <c r="N9" s="72"/>
      <c r="O9" s="73"/>
      <c r="P9" s="350">
        <v>72</v>
      </c>
      <c r="Q9" s="350">
        <f t="shared" si="2"/>
        <v>36</v>
      </c>
      <c r="R9" s="314">
        <v>60</v>
      </c>
      <c r="S9" s="314">
        <f t="shared" si="3"/>
        <v>30</v>
      </c>
    </row>
    <row r="10" spans="1:19" ht="20.100000000000001" customHeight="1">
      <c r="A10" s="343"/>
      <c r="B10" s="351">
        <v>5</v>
      </c>
      <c r="C10" s="73" t="str">
        <f t="shared" si="0"/>
        <v>D2</v>
      </c>
      <c r="D10" s="73">
        <v>5</v>
      </c>
      <c r="E10" s="352" t="s">
        <v>446</v>
      </c>
      <c r="F10" s="353" t="s">
        <v>447</v>
      </c>
      <c r="G10" s="352" t="s">
        <v>448</v>
      </c>
      <c r="H10" s="358">
        <v>24</v>
      </c>
      <c r="I10" s="353" t="s">
        <v>449</v>
      </c>
      <c r="J10" s="352" t="s">
        <v>450</v>
      </c>
      <c r="K10" s="354">
        <v>18</v>
      </c>
      <c r="L10" s="355">
        <f t="shared" si="1"/>
        <v>42</v>
      </c>
      <c r="M10" s="356" t="s">
        <v>143</v>
      </c>
      <c r="N10" s="72"/>
      <c r="O10" s="73"/>
      <c r="P10" s="350" t="e">
        <f>VLOOKUP(E10,WBFormat!N$36:O$54,2,0)</f>
        <v>#N/A</v>
      </c>
      <c r="Q10" s="350" t="e">
        <f t="shared" si="2"/>
        <v>#N/A</v>
      </c>
      <c r="R10" s="314">
        <v>0</v>
      </c>
      <c r="S10" s="314">
        <f t="shared" si="3"/>
        <v>0</v>
      </c>
    </row>
    <row r="11" spans="1:19" ht="20.100000000000001" customHeight="1">
      <c r="A11" s="343"/>
      <c r="B11" s="351">
        <v>6</v>
      </c>
      <c r="C11" s="73" t="str">
        <f t="shared" si="0"/>
        <v>C2</v>
      </c>
      <c r="D11" s="73">
        <v>6</v>
      </c>
      <c r="E11" s="352" t="s">
        <v>451</v>
      </c>
      <c r="F11" s="353" t="s">
        <v>452</v>
      </c>
      <c r="G11" s="352" t="s">
        <v>453</v>
      </c>
      <c r="H11" s="354">
        <v>0</v>
      </c>
      <c r="I11" s="353" t="s">
        <v>454</v>
      </c>
      <c r="J11" s="352" t="s">
        <v>455</v>
      </c>
      <c r="K11" s="354">
        <v>33</v>
      </c>
      <c r="L11" s="355">
        <f t="shared" si="1"/>
        <v>33</v>
      </c>
      <c r="M11" s="356" t="s">
        <v>149</v>
      </c>
      <c r="N11" s="72"/>
      <c r="O11" s="73"/>
      <c r="P11" s="350" t="e">
        <f>VLOOKUP(E11,WBFormat!N$36:O$54,2,0)</f>
        <v>#N/A</v>
      </c>
      <c r="Q11" s="350" t="e">
        <f t="shared" si="2"/>
        <v>#N/A</v>
      </c>
      <c r="R11" s="314"/>
      <c r="S11" s="314">
        <f t="shared" si="3"/>
        <v>0</v>
      </c>
    </row>
    <row r="12" spans="1:19" ht="20.100000000000001" customHeight="1">
      <c r="A12" s="343"/>
      <c r="B12" s="351">
        <v>7</v>
      </c>
      <c r="C12" s="73" t="str">
        <f t="shared" si="0"/>
        <v>B2</v>
      </c>
      <c r="D12" s="73">
        <v>7</v>
      </c>
      <c r="E12" s="352" t="s">
        <v>456</v>
      </c>
      <c r="F12" s="353" t="s">
        <v>457</v>
      </c>
      <c r="G12" s="352" t="s">
        <v>458</v>
      </c>
      <c r="H12" s="354">
        <v>9</v>
      </c>
      <c r="I12" s="353" t="s">
        <v>459</v>
      </c>
      <c r="J12" s="352" t="s">
        <v>460</v>
      </c>
      <c r="K12" s="354">
        <v>9</v>
      </c>
      <c r="L12" s="355">
        <f t="shared" si="1"/>
        <v>18</v>
      </c>
      <c r="M12" s="356" t="s">
        <v>155</v>
      </c>
      <c r="N12" s="72"/>
      <c r="O12" s="73"/>
      <c r="P12" s="350" t="e">
        <f>VLOOKUP(E12,WBFormat!N$36:O$54,2,0)</f>
        <v>#N/A</v>
      </c>
      <c r="Q12" s="350" t="e">
        <f t="shared" si="2"/>
        <v>#N/A</v>
      </c>
      <c r="R12" s="314">
        <v>60</v>
      </c>
      <c r="S12" s="314">
        <f t="shared" si="3"/>
        <v>30</v>
      </c>
    </row>
    <row r="13" spans="1:19" ht="20.100000000000001" customHeight="1">
      <c r="A13" s="343"/>
      <c r="B13" s="351">
        <v>8</v>
      </c>
      <c r="C13" s="73" t="str">
        <f t="shared" si="0"/>
        <v>A2</v>
      </c>
      <c r="D13" s="73">
        <v>8</v>
      </c>
      <c r="E13" s="352" t="s">
        <v>461</v>
      </c>
      <c r="F13" s="353" t="s">
        <v>462</v>
      </c>
      <c r="G13" s="352" t="s">
        <v>463</v>
      </c>
      <c r="H13" s="354">
        <v>9</v>
      </c>
      <c r="I13" s="353" t="s">
        <v>464</v>
      </c>
      <c r="J13" s="357" t="s">
        <v>195</v>
      </c>
      <c r="K13" s="354">
        <v>0</v>
      </c>
      <c r="L13" s="355">
        <f t="shared" si="1"/>
        <v>9</v>
      </c>
      <c r="M13" s="356" t="s">
        <v>161</v>
      </c>
      <c r="N13" s="72"/>
      <c r="O13" s="73"/>
      <c r="P13" s="350" t="e">
        <f>VLOOKUP(E13,WBFormat!N$36:O$54,2,0)</f>
        <v>#N/A</v>
      </c>
      <c r="Q13" s="350" t="e">
        <f t="shared" si="2"/>
        <v>#N/A</v>
      </c>
      <c r="R13" s="314">
        <v>48</v>
      </c>
      <c r="S13" s="314">
        <f t="shared" si="3"/>
        <v>24</v>
      </c>
    </row>
    <row r="14" spans="1:19" ht="20.100000000000001" customHeight="1">
      <c r="A14" s="343"/>
      <c r="B14" s="351">
        <v>9</v>
      </c>
      <c r="C14" s="73" t="str">
        <f t="shared" si="0"/>
        <v>D4</v>
      </c>
      <c r="D14" s="73">
        <v>9</v>
      </c>
      <c r="E14" s="352" t="s">
        <v>465</v>
      </c>
      <c r="F14" s="353" t="s">
        <v>466</v>
      </c>
      <c r="G14" s="357" t="s">
        <v>195</v>
      </c>
      <c r="H14" s="354">
        <v>0</v>
      </c>
      <c r="I14" s="353" t="s">
        <v>467</v>
      </c>
      <c r="J14" s="357" t="s">
        <v>195</v>
      </c>
      <c r="K14" s="354">
        <v>0</v>
      </c>
      <c r="L14" s="355">
        <f t="shared" si="1"/>
        <v>0</v>
      </c>
      <c r="M14" s="359" t="s">
        <v>217</v>
      </c>
      <c r="N14" s="360" t="s">
        <v>468</v>
      </c>
      <c r="O14" s="73"/>
      <c r="P14" s="350" t="e">
        <f>VLOOKUP(E14,WBFormat!N$36:O$54,2,0)</f>
        <v>#N/A</v>
      </c>
      <c r="Q14" s="350" t="e">
        <f t="shared" si="2"/>
        <v>#N/A</v>
      </c>
      <c r="R14" s="314">
        <v>60</v>
      </c>
      <c r="S14" s="314">
        <f t="shared" si="3"/>
        <v>30</v>
      </c>
    </row>
    <row r="15" spans="1:19" ht="20.100000000000001" customHeight="1">
      <c r="A15" s="343"/>
      <c r="B15" s="351">
        <v>10</v>
      </c>
      <c r="C15" s="73" t="str">
        <f t="shared" si="0"/>
        <v>D3</v>
      </c>
      <c r="D15" s="73">
        <v>9</v>
      </c>
      <c r="E15" s="353" t="s">
        <v>469</v>
      </c>
      <c r="F15" s="353" t="s">
        <v>470</v>
      </c>
      <c r="G15" s="357" t="s">
        <v>195</v>
      </c>
      <c r="H15" s="354">
        <v>0</v>
      </c>
      <c r="I15" s="353" t="s">
        <v>471</v>
      </c>
      <c r="J15" s="352" t="s">
        <v>472</v>
      </c>
      <c r="K15" s="354">
        <v>0</v>
      </c>
      <c r="L15" s="355">
        <f t="shared" si="1"/>
        <v>0</v>
      </c>
      <c r="M15" s="359" t="s">
        <v>184</v>
      </c>
      <c r="N15" s="360" t="s">
        <v>468</v>
      </c>
      <c r="O15" s="73"/>
      <c r="P15" s="350" t="e">
        <f>VLOOKUP(E15,WBFormat!N$36:O$54,2,0)</f>
        <v>#N/A</v>
      </c>
      <c r="Q15" s="350" t="e">
        <f t="shared" si="2"/>
        <v>#N/A</v>
      </c>
      <c r="R15" s="314">
        <v>48</v>
      </c>
      <c r="S15" s="314">
        <f t="shared" si="3"/>
        <v>24</v>
      </c>
    </row>
    <row r="16" spans="1:19" ht="20.100000000000001" customHeight="1">
      <c r="A16" s="343"/>
      <c r="B16" s="351">
        <v>11</v>
      </c>
      <c r="C16" s="73" t="str">
        <f t="shared" si="0"/>
        <v>A3</v>
      </c>
      <c r="D16" s="73">
        <v>9</v>
      </c>
      <c r="E16" s="352" t="s">
        <v>473</v>
      </c>
      <c r="F16" s="353" t="s">
        <v>474</v>
      </c>
      <c r="G16" s="352" t="s">
        <v>475</v>
      </c>
      <c r="H16" s="354">
        <v>0</v>
      </c>
      <c r="I16" s="353" t="s">
        <v>476</v>
      </c>
      <c r="J16" s="352" t="s">
        <v>477</v>
      </c>
      <c r="K16" s="354">
        <v>0</v>
      </c>
      <c r="L16" s="355">
        <f t="shared" si="1"/>
        <v>0</v>
      </c>
      <c r="M16" s="359" t="s">
        <v>167</v>
      </c>
      <c r="N16" s="360" t="s">
        <v>468</v>
      </c>
      <c r="O16" s="73"/>
      <c r="P16" s="350" t="e">
        <f>VLOOKUP(E16,WBFormat!N$36:O$54,2,0)</f>
        <v>#N/A</v>
      </c>
      <c r="Q16" s="350" t="e">
        <f t="shared" si="2"/>
        <v>#N/A</v>
      </c>
      <c r="R16" s="314"/>
      <c r="S16" s="314">
        <f t="shared" si="3"/>
        <v>0</v>
      </c>
    </row>
    <row r="17" spans="1:19" ht="20.100000000000001" customHeight="1">
      <c r="A17" s="343"/>
      <c r="B17" s="351">
        <v>12</v>
      </c>
      <c r="C17" s="73" t="str">
        <f t="shared" si="0"/>
        <v>C3</v>
      </c>
      <c r="D17" s="73">
        <v>9</v>
      </c>
      <c r="E17" s="352" t="s">
        <v>478</v>
      </c>
      <c r="F17" s="353" t="s">
        <v>479</v>
      </c>
      <c r="G17" s="357" t="s">
        <v>195</v>
      </c>
      <c r="H17" s="354">
        <v>0</v>
      </c>
      <c r="I17" s="353" t="s">
        <v>480</v>
      </c>
      <c r="J17" s="357" t="s">
        <v>195</v>
      </c>
      <c r="K17" s="354">
        <v>0</v>
      </c>
      <c r="L17" s="355">
        <f t="shared" si="1"/>
        <v>0</v>
      </c>
      <c r="M17" s="359" t="s">
        <v>178</v>
      </c>
      <c r="N17" s="360" t="s">
        <v>468</v>
      </c>
      <c r="O17" s="73"/>
      <c r="P17" s="350" t="e">
        <f>VLOOKUP(E17,WBFormat!N$36:O$54,2,0)</f>
        <v>#N/A</v>
      </c>
      <c r="Q17" s="350" t="e">
        <f t="shared" si="2"/>
        <v>#N/A</v>
      </c>
      <c r="R17" s="314">
        <v>48</v>
      </c>
      <c r="S17" s="314">
        <f t="shared" si="3"/>
        <v>24</v>
      </c>
    </row>
    <row r="18" spans="1:19" ht="20.100000000000001" customHeight="1">
      <c r="A18" s="343"/>
      <c r="B18" s="361">
        <v>13</v>
      </c>
      <c r="C18" s="362" t="str">
        <f t="shared" si="0"/>
        <v>B3</v>
      </c>
      <c r="D18" s="362">
        <v>9</v>
      </c>
      <c r="E18" s="362" t="s">
        <v>481</v>
      </c>
      <c r="F18" s="363" t="s">
        <v>482</v>
      </c>
      <c r="G18" s="362" t="s">
        <v>483</v>
      </c>
      <c r="H18" s="364">
        <v>0</v>
      </c>
      <c r="I18" s="363" t="s">
        <v>484</v>
      </c>
      <c r="J18" s="362" t="s">
        <v>485</v>
      </c>
      <c r="K18" s="364">
        <v>0</v>
      </c>
      <c r="L18" s="365">
        <f t="shared" si="1"/>
        <v>0</v>
      </c>
      <c r="M18" s="359" t="s">
        <v>173</v>
      </c>
      <c r="N18" s="360" t="s">
        <v>468</v>
      </c>
      <c r="O18" s="73"/>
      <c r="P18" s="350" t="e">
        <f>VLOOKUP(E18,WBFormat!N$36:O$54,2,0)</f>
        <v>#N/A</v>
      </c>
      <c r="Q18" s="350" t="e">
        <f t="shared" si="2"/>
        <v>#N/A</v>
      </c>
      <c r="R18" s="314">
        <v>48</v>
      </c>
      <c r="S18" s="314">
        <f t="shared" si="3"/>
        <v>24</v>
      </c>
    </row>
    <row r="19" spans="1:19" ht="20.100000000000001" hidden="1" customHeight="1">
      <c r="A19" s="366"/>
      <c r="B19" s="367">
        <v>14</v>
      </c>
      <c r="C19" s="90">
        <f t="shared" si="0"/>
        <v>0</v>
      </c>
      <c r="D19" s="90">
        <v>13</v>
      </c>
      <c r="E19" s="90"/>
      <c r="F19" s="90"/>
      <c r="G19" s="90"/>
      <c r="H19" s="354"/>
      <c r="I19" s="90"/>
      <c r="J19" s="90"/>
      <c r="K19" s="354"/>
      <c r="L19" s="368">
        <f t="shared" si="1"/>
        <v>0</v>
      </c>
      <c r="M19" s="369"/>
      <c r="N19" s="72"/>
      <c r="O19" s="73"/>
      <c r="P19" s="350" t="e">
        <f>VLOOKUP(E19,WBFormat!N$36:O$54,2,0)</f>
        <v>#N/A</v>
      </c>
      <c r="Q19" s="350" t="e">
        <f t="shared" si="2"/>
        <v>#N/A</v>
      </c>
    </row>
    <row r="20" spans="1:19" ht="20.100000000000001" hidden="1" customHeight="1">
      <c r="A20" s="366"/>
      <c r="B20" s="367">
        <v>15</v>
      </c>
      <c r="C20" s="73">
        <f t="shared" si="0"/>
        <v>0</v>
      </c>
      <c r="D20" s="73">
        <v>15</v>
      </c>
      <c r="E20" s="73"/>
      <c r="F20" s="73"/>
      <c r="G20" s="73"/>
      <c r="H20" s="354"/>
      <c r="I20" s="73"/>
      <c r="J20" s="73"/>
      <c r="K20" s="354"/>
      <c r="L20" s="370">
        <f t="shared" si="1"/>
        <v>0</v>
      </c>
      <c r="M20" s="371"/>
      <c r="N20" s="72"/>
      <c r="O20" s="73"/>
      <c r="P20" s="350" t="e">
        <f>VLOOKUP(E20,WBFormat!N$36:O$54,2,0)</f>
        <v>#N/A</v>
      </c>
      <c r="Q20" s="350" t="e">
        <f t="shared" si="2"/>
        <v>#N/A</v>
      </c>
    </row>
    <row r="21" spans="1:19" ht="20.100000000000001" hidden="1" customHeight="1">
      <c r="A21" s="366"/>
      <c r="B21" s="367">
        <v>16</v>
      </c>
      <c r="C21" s="73">
        <f t="shared" si="0"/>
        <v>0</v>
      </c>
      <c r="D21" s="73">
        <v>16</v>
      </c>
      <c r="E21" s="73"/>
      <c r="F21" s="73"/>
      <c r="G21" s="73"/>
      <c r="H21" s="354"/>
      <c r="I21" s="73"/>
      <c r="J21" s="73"/>
      <c r="K21" s="354"/>
      <c r="L21" s="370">
        <f t="shared" si="1"/>
        <v>0</v>
      </c>
      <c r="M21" s="369"/>
      <c r="N21" s="72"/>
      <c r="O21" s="73"/>
      <c r="P21" s="350" t="e">
        <f>VLOOKUP(E21,WBFormat!N$36:O$54,2,0)</f>
        <v>#N/A</v>
      </c>
      <c r="Q21" s="350" t="e">
        <f t="shared" si="2"/>
        <v>#N/A</v>
      </c>
    </row>
    <row r="22" spans="1:19" ht="20.100000000000001" hidden="1" customHeight="1">
      <c r="A22" s="366"/>
      <c r="B22" s="367">
        <v>17</v>
      </c>
      <c r="C22" s="73">
        <f t="shared" si="0"/>
        <v>0</v>
      </c>
      <c r="D22" s="73">
        <v>16</v>
      </c>
      <c r="E22" s="73"/>
      <c r="F22" s="73"/>
      <c r="G22" s="73"/>
      <c r="H22" s="354"/>
      <c r="I22" s="73"/>
      <c r="J22" s="73"/>
      <c r="K22" s="354"/>
      <c r="L22" s="370">
        <f t="shared" si="1"/>
        <v>0</v>
      </c>
      <c r="M22" s="369"/>
      <c r="N22" s="72"/>
      <c r="O22" s="73"/>
      <c r="P22" s="350" t="e">
        <f>VLOOKUP(E22,WBFormat!N$36:O$54,2,0)</f>
        <v>#N/A</v>
      </c>
      <c r="Q22" s="350" t="e">
        <f t="shared" si="2"/>
        <v>#N/A</v>
      </c>
    </row>
    <row r="23" spans="1:19" ht="20.100000000000001" hidden="1" customHeight="1">
      <c r="A23" s="366"/>
      <c r="B23" s="367">
        <v>18</v>
      </c>
      <c r="C23" s="73">
        <f t="shared" si="0"/>
        <v>0</v>
      </c>
      <c r="D23" s="73">
        <v>16</v>
      </c>
      <c r="E23" s="73"/>
      <c r="F23" s="73"/>
      <c r="G23" s="73"/>
      <c r="H23" s="354"/>
      <c r="I23" s="73"/>
      <c r="J23" s="73"/>
      <c r="K23" s="354"/>
      <c r="L23" s="370">
        <f t="shared" si="1"/>
        <v>0</v>
      </c>
      <c r="M23" s="369"/>
      <c r="N23" s="72"/>
      <c r="O23" s="73"/>
      <c r="P23" s="350" t="e">
        <f>VLOOKUP(E23,WBFormat!N$36:O$54,2,0)</f>
        <v>#N/A</v>
      </c>
      <c r="Q23" s="350" t="e">
        <f t="shared" si="2"/>
        <v>#N/A</v>
      </c>
    </row>
    <row r="24" spans="1:19" ht="20.100000000000001" hidden="1" customHeight="1">
      <c r="A24" s="366"/>
      <c r="B24" s="372">
        <v>19</v>
      </c>
      <c r="C24" s="73">
        <f t="shared" si="0"/>
        <v>0</v>
      </c>
      <c r="D24" s="73">
        <v>16</v>
      </c>
      <c r="E24" s="73"/>
      <c r="F24" s="73"/>
      <c r="G24" s="73"/>
      <c r="H24" s="354"/>
      <c r="I24" s="73"/>
      <c r="J24" s="73"/>
      <c r="K24" s="354"/>
      <c r="L24" s="370">
        <f t="shared" si="1"/>
        <v>0</v>
      </c>
      <c r="M24" s="369"/>
      <c r="N24" s="72"/>
      <c r="O24" s="73"/>
      <c r="P24" s="350" t="e">
        <f>VLOOKUP(E24,WBFormat!N$36:O$54,2,0)</f>
        <v>#N/A</v>
      </c>
      <c r="Q24" s="350" t="e">
        <f t="shared" si="2"/>
        <v>#N/A</v>
      </c>
    </row>
    <row r="25" spans="1:19" ht="20.100000000000001" hidden="1" customHeight="1">
      <c r="A25" s="310"/>
      <c r="B25" s="373">
        <v>19</v>
      </c>
      <c r="C25" s="73">
        <f t="shared" si="0"/>
        <v>0</v>
      </c>
      <c r="D25" s="73">
        <v>16</v>
      </c>
      <c r="E25" s="29"/>
      <c r="F25" s="29"/>
      <c r="G25" s="29"/>
      <c r="H25" s="29"/>
      <c r="I25" s="29"/>
      <c r="J25" s="29"/>
      <c r="K25" s="29"/>
      <c r="L25" s="29"/>
      <c r="M25" s="374"/>
      <c r="N25" s="72"/>
      <c r="O25" s="73"/>
      <c r="P25" s="310"/>
      <c r="Q25" s="375"/>
    </row>
    <row r="26" spans="1:19" ht="20.100000000000001" hidden="1" customHeight="1">
      <c r="A26" s="310"/>
      <c r="B26" s="376">
        <v>27</v>
      </c>
      <c r="C26" s="73">
        <f t="shared" si="0"/>
        <v>0</v>
      </c>
      <c r="D26" s="73">
        <v>26</v>
      </c>
      <c r="E26" s="73"/>
      <c r="F26" s="73"/>
      <c r="G26" s="73"/>
      <c r="H26" s="73" t="e">
        <f>VLOOKUP(G26,'[1]#REF'!$C$8:$CJ$622,86,0)</f>
        <v>#N/A</v>
      </c>
      <c r="I26" s="73"/>
      <c r="J26" s="73"/>
      <c r="K26" s="73" t="e">
        <f>NA()</f>
        <v>#N/A</v>
      </c>
      <c r="L26" s="377" t="e">
        <f t="shared" ref="L26:L71" si="4">H26+K26</f>
        <v>#N/A</v>
      </c>
      <c r="M26" s="378"/>
      <c r="N26" s="72"/>
      <c r="O26" s="73"/>
      <c r="P26" s="310"/>
      <c r="Q26" s="375"/>
    </row>
    <row r="27" spans="1:19" ht="20.100000000000001" hidden="1" customHeight="1">
      <c r="A27" s="310"/>
      <c r="B27" s="379">
        <v>28</v>
      </c>
      <c r="C27" s="73">
        <f t="shared" si="0"/>
        <v>0</v>
      </c>
      <c r="D27" s="73">
        <v>26</v>
      </c>
      <c r="E27" s="73"/>
      <c r="F27" s="73"/>
      <c r="G27" s="73"/>
      <c r="H27" s="73" t="e">
        <f>VLOOKUP(G27,#REF!,86,0)</f>
        <v>#REF!</v>
      </c>
      <c r="I27" s="73"/>
      <c r="J27" s="73"/>
      <c r="K27" s="73" t="e">
        <f>NA()</f>
        <v>#N/A</v>
      </c>
      <c r="L27" s="377" t="e">
        <f t="shared" si="4"/>
        <v>#REF!</v>
      </c>
      <c r="M27" s="380"/>
      <c r="N27" s="72"/>
      <c r="O27" s="73"/>
      <c r="P27" s="310"/>
      <c r="Q27" s="310"/>
    </row>
    <row r="28" spans="1:19" ht="20.100000000000001" hidden="1" customHeight="1">
      <c r="A28" s="310"/>
      <c r="B28" s="379">
        <v>29</v>
      </c>
      <c r="C28" s="73">
        <f t="shared" si="0"/>
        <v>0</v>
      </c>
      <c r="D28" s="73">
        <v>29</v>
      </c>
      <c r="E28" s="73"/>
      <c r="F28" s="73"/>
      <c r="G28" s="73"/>
      <c r="H28" s="73" t="e">
        <f>VLOOKUP(G28,#REF!,86,0)</f>
        <v>#REF!</v>
      </c>
      <c r="I28" s="73"/>
      <c r="J28" s="73"/>
      <c r="K28" s="73" t="e">
        <f>NA()</f>
        <v>#N/A</v>
      </c>
      <c r="L28" s="377" t="e">
        <f t="shared" si="4"/>
        <v>#REF!</v>
      </c>
      <c r="M28" s="380"/>
      <c r="N28" s="72"/>
      <c r="O28" s="73"/>
      <c r="P28" s="310"/>
      <c r="Q28" s="310"/>
    </row>
    <row r="29" spans="1:19" ht="20.100000000000001" hidden="1" customHeight="1">
      <c r="A29" s="310"/>
      <c r="B29" s="376">
        <v>30</v>
      </c>
      <c r="C29" s="73">
        <f t="shared" si="0"/>
        <v>0</v>
      </c>
      <c r="D29" s="73">
        <v>29</v>
      </c>
      <c r="E29" s="73"/>
      <c r="F29" s="73"/>
      <c r="G29" s="73"/>
      <c r="H29" s="73" t="e">
        <f>VLOOKUP(G29,#REF!,86,0)</f>
        <v>#REF!</v>
      </c>
      <c r="I29" s="73"/>
      <c r="J29" s="73"/>
      <c r="K29" s="73" t="e">
        <f>NA()</f>
        <v>#N/A</v>
      </c>
      <c r="L29" s="377" t="e">
        <f t="shared" si="4"/>
        <v>#REF!</v>
      </c>
      <c r="M29" s="380"/>
      <c r="N29" s="72"/>
      <c r="O29" s="73"/>
      <c r="P29" s="310"/>
      <c r="Q29" s="310"/>
    </row>
    <row r="30" spans="1:19" ht="20.100000000000001" hidden="1" customHeight="1">
      <c r="A30" s="310"/>
      <c r="B30" s="379">
        <v>31</v>
      </c>
      <c r="C30" s="73">
        <f t="shared" si="0"/>
        <v>0</v>
      </c>
      <c r="D30" s="73">
        <v>29</v>
      </c>
      <c r="E30" s="73"/>
      <c r="F30" s="73"/>
      <c r="G30" s="73"/>
      <c r="H30" s="73" t="e">
        <f>VLOOKUP(G30,#REF!,86,0)</f>
        <v>#REF!</v>
      </c>
      <c r="I30" s="73"/>
      <c r="J30" s="73"/>
      <c r="K30" s="73" t="e">
        <f>NA()</f>
        <v>#N/A</v>
      </c>
      <c r="L30" s="377" t="e">
        <f t="shared" si="4"/>
        <v>#REF!</v>
      </c>
      <c r="M30" s="380"/>
      <c r="N30" s="72"/>
      <c r="O30" s="73"/>
      <c r="P30" s="310"/>
      <c r="Q30" s="310"/>
    </row>
    <row r="31" spans="1:19" ht="20.100000000000001" hidden="1" customHeight="1">
      <c r="A31" s="310"/>
      <c r="B31" s="379">
        <v>32</v>
      </c>
      <c r="C31" s="73">
        <f t="shared" si="0"/>
        <v>0</v>
      </c>
      <c r="D31" s="73">
        <v>32</v>
      </c>
      <c r="E31" s="73"/>
      <c r="F31" s="73"/>
      <c r="G31" s="73"/>
      <c r="H31" s="73" t="e">
        <f>VLOOKUP(G31,#REF!,86,0)</f>
        <v>#REF!</v>
      </c>
      <c r="I31" s="73"/>
      <c r="J31" s="73"/>
      <c r="K31" s="73" t="e">
        <f>NA()</f>
        <v>#N/A</v>
      </c>
      <c r="L31" s="377" t="e">
        <f t="shared" si="4"/>
        <v>#REF!</v>
      </c>
      <c r="M31" s="59"/>
      <c r="N31" s="381"/>
      <c r="O31" s="73"/>
      <c r="P31" s="310"/>
      <c r="Q31" s="310"/>
    </row>
    <row r="32" spans="1:19" ht="20.100000000000001" hidden="1" customHeight="1">
      <c r="A32" s="310"/>
      <c r="B32" s="376">
        <v>33</v>
      </c>
      <c r="C32" s="73">
        <f t="shared" si="0"/>
        <v>0</v>
      </c>
      <c r="D32" s="73">
        <v>33</v>
      </c>
      <c r="E32" s="73"/>
      <c r="F32" s="73"/>
      <c r="G32" s="73"/>
      <c r="H32" s="73" t="e">
        <f>VLOOKUP(G32,#REF!,86,0)</f>
        <v>#REF!</v>
      </c>
      <c r="I32" s="73"/>
      <c r="J32" s="73"/>
      <c r="K32" s="73" t="e">
        <f>NA()</f>
        <v>#N/A</v>
      </c>
      <c r="L32" s="377" t="e">
        <f t="shared" si="4"/>
        <v>#REF!</v>
      </c>
      <c r="M32" s="380"/>
      <c r="N32" s="72"/>
      <c r="O32" s="73"/>
      <c r="P32" s="310"/>
      <c r="Q32" s="310"/>
    </row>
    <row r="33" spans="1:17" ht="20.100000000000001" hidden="1" customHeight="1">
      <c r="A33" s="310"/>
      <c r="B33" s="379">
        <v>34</v>
      </c>
      <c r="C33" s="73">
        <f t="shared" si="0"/>
        <v>0</v>
      </c>
      <c r="D33" s="73">
        <v>33</v>
      </c>
      <c r="E33" s="73"/>
      <c r="F33" s="73"/>
      <c r="G33" s="73"/>
      <c r="H33" s="73" t="e">
        <f>VLOOKUP(G33,#REF!,86,0)</f>
        <v>#REF!</v>
      </c>
      <c r="I33" s="73"/>
      <c r="J33" s="73"/>
      <c r="K33" s="73" t="e">
        <f>NA()</f>
        <v>#N/A</v>
      </c>
      <c r="L33" s="377" t="e">
        <f t="shared" si="4"/>
        <v>#REF!</v>
      </c>
      <c r="M33" s="380"/>
      <c r="N33" s="72"/>
      <c r="O33" s="73"/>
      <c r="P33" s="310"/>
      <c r="Q33" s="310"/>
    </row>
    <row r="34" spans="1:17" ht="20.100000000000001" hidden="1" customHeight="1">
      <c r="A34" s="310"/>
      <c r="B34" s="379">
        <v>35</v>
      </c>
      <c r="C34" s="73">
        <f t="shared" si="0"/>
        <v>0</v>
      </c>
      <c r="D34" s="73">
        <v>33</v>
      </c>
      <c r="E34" s="73"/>
      <c r="F34" s="73"/>
      <c r="G34" s="73"/>
      <c r="H34" s="73" t="e">
        <f>VLOOKUP(G34,#REF!,86,0)</f>
        <v>#REF!</v>
      </c>
      <c r="I34" s="73"/>
      <c r="J34" s="73"/>
      <c r="K34" s="73" t="e">
        <f>NA()</f>
        <v>#N/A</v>
      </c>
      <c r="L34" s="377" t="e">
        <f t="shared" si="4"/>
        <v>#REF!</v>
      </c>
      <c r="M34" s="380"/>
      <c r="N34" s="72"/>
      <c r="O34" s="73"/>
      <c r="P34" s="310"/>
      <c r="Q34" s="310"/>
    </row>
    <row r="35" spans="1:17" ht="20.100000000000001" hidden="1" customHeight="1">
      <c r="A35" s="310"/>
      <c r="B35" s="376">
        <v>36</v>
      </c>
      <c r="C35" s="73">
        <f t="shared" si="0"/>
        <v>0</v>
      </c>
      <c r="D35" s="73">
        <v>33</v>
      </c>
      <c r="E35" s="73"/>
      <c r="F35" s="73"/>
      <c r="G35" s="73"/>
      <c r="H35" s="73" t="e">
        <f>VLOOKUP(G35,#REF!,86,0)</f>
        <v>#REF!</v>
      </c>
      <c r="I35" s="73"/>
      <c r="J35" s="73"/>
      <c r="K35" s="73" t="e">
        <f>NA()</f>
        <v>#N/A</v>
      </c>
      <c r="L35" s="377" t="e">
        <f t="shared" si="4"/>
        <v>#REF!</v>
      </c>
      <c r="M35" s="380"/>
      <c r="N35" s="72"/>
      <c r="O35" s="73"/>
      <c r="P35" s="310"/>
      <c r="Q35" s="310"/>
    </row>
    <row r="36" spans="1:17" ht="20.100000000000001" hidden="1" customHeight="1">
      <c r="A36" s="310"/>
      <c r="B36" s="379">
        <v>37</v>
      </c>
      <c r="C36" s="73">
        <f t="shared" si="0"/>
        <v>0</v>
      </c>
      <c r="D36" s="73">
        <v>33</v>
      </c>
      <c r="E36" s="73"/>
      <c r="F36" s="73"/>
      <c r="G36" s="73"/>
      <c r="H36" s="73" t="e">
        <f>VLOOKUP(G36,#REF!,86,0)</f>
        <v>#REF!</v>
      </c>
      <c r="I36" s="73"/>
      <c r="J36" s="73"/>
      <c r="K36" s="73" t="e">
        <f>NA()</f>
        <v>#N/A</v>
      </c>
      <c r="L36" s="377" t="e">
        <f t="shared" si="4"/>
        <v>#REF!</v>
      </c>
      <c r="M36" s="380"/>
      <c r="N36" s="72"/>
      <c r="O36" s="73"/>
      <c r="P36" s="310"/>
      <c r="Q36" s="310"/>
    </row>
    <row r="37" spans="1:17" ht="21.6" hidden="1" customHeight="1">
      <c r="A37" s="310"/>
      <c r="B37" s="379">
        <v>38</v>
      </c>
      <c r="C37" s="90" t="str">
        <f t="shared" si="0"/>
        <v>A1</v>
      </c>
      <c r="D37" s="90">
        <v>34</v>
      </c>
      <c r="E37" s="382" t="s">
        <v>71</v>
      </c>
      <c r="F37" s="383" t="s">
        <v>239</v>
      </c>
      <c r="G37" s="383" t="s">
        <v>486</v>
      </c>
      <c r="H37" s="384" t="e">
        <f>VLOOKUP(G37,#REF!,86,0)</f>
        <v>#REF!</v>
      </c>
      <c r="I37" s="383" t="s">
        <v>239</v>
      </c>
      <c r="J37" s="383" t="s">
        <v>195</v>
      </c>
      <c r="K37" s="384" t="e">
        <f>VLOOKUP(J37,#REF!,86,0)</f>
        <v>#REF!</v>
      </c>
      <c r="L37" s="385" t="e">
        <f t="shared" si="4"/>
        <v>#REF!</v>
      </c>
      <c r="M37" s="382" t="s">
        <v>71</v>
      </c>
      <c r="O37" s="310"/>
      <c r="P37" s="310"/>
      <c r="Q37" s="310"/>
    </row>
    <row r="38" spans="1:17" ht="21.6" hidden="1" customHeight="1">
      <c r="A38" s="310"/>
      <c r="B38" s="376">
        <v>39</v>
      </c>
      <c r="C38" s="73" t="str">
        <f t="shared" ref="C38:C71" si="5">M38</f>
        <v>B1</v>
      </c>
      <c r="D38" s="73">
        <v>35</v>
      </c>
      <c r="E38" s="382" t="s">
        <v>77</v>
      </c>
      <c r="F38" s="352" t="s">
        <v>239</v>
      </c>
      <c r="G38" s="352" t="s">
        <v>487</v>
      </c>
      <c r="H38" s="386" t="e">
        <f>VLOOKUP(G38,#REF!,86,0)</f>
        <v>#REF!</v>
      </c>
      <c r="I38" s="352" t="s">
        <v>239</v>
      </c>
      <c r="J38" s="352" t="s">
        <v>195</v>
      </c>
      <c r="K38" s="384" t="e">
        <f>VLOOKUP(J38,#REF!,86,0)</f>
        <v>#REF!</v>
      </c>
      <c r="L38" s="387" t="e">
        <f t="shared" si="4"/>
        <v>#REF!</v>
      </c>
      <c r="M38" s="382" t="s">
        <v>77</v>
      </c>
      <c r="O38" s="310"/>
      <c r="P38" s="310"/>
      <c r="Q38" s="310"/>
    </row>
    <row r="39" spans="1:17" ht="21.6" hidden="1" customHeight="1">
      <c r="A39" s="310"/>
      <c r="B39" s="379">
        <v>40</v>
      </c>
      <c r="C39" s="73" t="str">
        <f t="shared" si="5"/>
        <v>C1</v>
      </c>
      <c r="D39" s="73">
        <v>36</v>
      </c>
      <c r="E39" s="382" t="s">
        <v>83</v>
      </c>
      <c r="F39" s="352" t="s">
        <v>239</v>
      </c>
      <c r="G39" s="352" t="s">
        <v>488</v>
      </c>
      <c r="H39" s="386" t="e">
        <f>VLOOKUP(G39,#REF!,86,0)</f>
        <v>#REF!</v>
      </c>
      <c r="I39" s="352" t="s">
        <v>239</v>
      </c>
      <c r="J39" s="352" t="s">
        <v>195</v>
      </c>
      <c r="K39" s="384" t="e">
        <f>VLOOKUP(J39,#REF!,86,0)</f>
        <v>#REF!</v>
      </c>
      <c r="L39" s="387" t="e">
        <f t="shared" si="4"/>
        <v>#REF!</v>
      </c>
      <c r="M39" s="382" t="s">
        <v>83</v>
      </c>
      <c r="O39" s="310"/>
      <c r="P39" s="310"/>
      <c r="Q39" s="310"/>
    </row>
    <row r="40" spans="1:17" ht="21.6" hidden="1" customHeight="1">
      <c r="A40" s="310"/>
      <c r="B40" s="379">
        <v>41</v>
      </c>
      <c r="C40" s="73" t="str">
        <f t="shared" si="5"/>
        <v>D1</v>
      </c>
      <c r="D40" s="73">
        <v>37</v>
      </c>
      <c r="E40" s="382" t="s">
        <v>89</v>
      </c>
      <c r="F40" s="352" t="s">
        <v>239</v>
      </c>
      <c r="G40" s="352" t="s">
        <v>489</v>
      </c>
      <c r="H40" s="386" t="e">
        <f>VLOOKUP(G40,#REF!,86,0)</f>
        <v>#REF!</v>
      </c>
      <c r="I40" s="352" t="s">
        <v>239</v>
      </c>
      <c r="J40" s="352" t="s">
        <v>195</v>
      </c>
      <c r="K40" s="384" t="e">
        <f>VLOOKUP(J40,#REF!,86,0)</f>
        <v>#REF!</v>
      </c>
      <c r="L40" s="387" t="e">
        <f t="shared" si="4"/>
        <v>#REF!</v>
      </c>
      <c r="M40" s="382" t="s">
        <v>89</v>
      </c>
      <c r="O40" s="310"/>
      <c r="P40" s="310"/>
      <c r="Q40" s="310"/>
    </row>
    <row r="41" spans="1:17" ht="21.6" hidden="1" customHeight="1">
      <c r="A41" s="310"/>
      <c r="B41" s="376">
        <v>42</v>
      </c>
      <c r="C41" s="73" t="str">
        <f t="shared" si="5"/>
        <v>E1</v>
      </c>
      <c r="D41" s="73">
        <v>38</v>
      </c>
      <c r="E41" s="382" t="s">
        <v>95</v>
      </c>
      <c r="F41" s="352" t="s">
        <v>239</v>
      </c>
      <c r="G41" s="352" t="s">
        <v>490</v>
      </c>
      <c r="H41" s="386" t="e">
        <f>VLOOKUP(G41,#REF!,86,0)</f>
        <v>#REF!</v>
      </c>
      <c r="I41" s="352" t="s">
        <v>239</v>
      </c>
      <c r="J41" s="352" t="s">
        <v>195</v>
      </c>
      <c r="K41" s="384" t="e">
        <f>VLOOKUP(J41,#REF!,86,0)</f>
        <v>#REF!</v>
      </c>
      <c r="L41" s="387" t="e">
        <f t="shared" si="4"/>
        <v>#REF!</v>
      </c>
      <c r="M41" s="382" t="s">
        <v>95</v>
      </c>
      <c r="O41" s="310"/>
      <c r="P41" s="310"/>
      <c r="Q41" s="310"/>
    </row>
    <row r="42" spans="1:17" ht="21.6" hidden="1" customHeight="1">
      <c r="A42" s="310"/>
      <c r="B42" s="379">
        <v>43</v>
      </c>
      <c r="C42" s="73" t="str">
        <f t="shared" si="5"/>
        <v>F1</v>
      </c>
      <c r="D42" s="73">
        <v>39</v>
      </c>
      <c r="E42" s="382" t="s">
        <v>101</v>
      </c>
      <c r="F42" s="352" t="s">
        <v>239</v>
      </c>
      <c r="G42" s="352" t="s">
        <v>491</v>
      </c>
      <c r="H42" s="386" t="e">
        <f>VLOOKUP(G42,#REF!,86,0)</f>
        <v>#REF!</v>
      </c>
      <c r="I42" s="352" t="s">
        <v>239</v>
      </c>
      <c r="J42" s="352" t="s">
        <v>195</v>
      </c>
      <c r="K42" s="384" t="e">
        <f>VLOOKUP(J42,#REF!,86,0)</f>
        <v>#REF!</v>
      </c>
      <c r="L42" s="387" t="e">
        <f t="shared" si="4"/>
        <v>#REF!</v>
      </c>
      <c r="M42" s="382" t="s">
        <v>101</v>
      </c>
      <c r="O42" s="310"/>
      <c r="P42" s="310"/>
      <c r="Q42" s="310"/>
    </row>
    <row r="43" spans="1:17" ht="21.6" hidden="1" customHeight="1">
      <c r="A43" s="310"/>
      <c r="B43" s="379">
        <v>44</v>
      </c>
      <c r="C43" s="73" t="str">
        <f t="shared" si="5"/>
        <v>E2</v>
      </c>
      <c r="D43" s="73">
        <v>40</v>
      </c>
      <c r="E43" s="382" t="s">
        <v>137</v>
      </c>
      <c r="F43" s="352" t="s">
        <v>239</v>
      </c>
      <c r="G43" s="352" t="s">
        <v>492</v>
      </c>
      <c r="H43" s="386" t="e">
        <f>VLOOKUP(G43,#REF!,86,0)</f>
        <v>#REF!</v>
      </c>
      <c r="I43" s="352" t="s">
        <v>239</v>
      </c>
      <c r="J43" s="352" t="s">
        <v>195</v>
      </c>
      <c r="K43" s="384" t="e">
        <f>VLOOKUP(J43,#REF!,86,0)</f>
        <v>#REF!</v>
      </c>
      <c r="L43" s="387" t="e">
        <f t="shared" si="4"/>
        <v>#REF!</v>
      </c>
      <c r="M43" s="382" t="s">
        <v>137</v>
      </c>
      <c r="O43" s="310"/>
      <c r="P43" s="310"/>
      <c r="Q43" s="310"/>
    </row>
    <row r="44" spans="1:17" ht="21.6" hidden="1" customHeight="1">
      <c r="A44" s="310"/>
      <c r="B44" s="376">
        <v>45</v>
      </c>
      <c r="C44" s="73" t="str">
        <f t="shared" si="5"/>
        <v>H1</v>
      </c>
      <c r="D44" s="73">
        <v>41</v>
      </c>
      <c r="E44" s="382" t="s">
        <v>113</v>
      </c>
      <c r="F44" s="352" t="s">
        <v>239</v>
      </c>
      <c r="G44" s="352" t="s">
        <v>493</v>
      </c>
      <c r="H44" s="386" t="e">
        <f>VLOOKUP(G44,#REF!,86,0)</f>
        <v>#REF!</v>
      </c>
      <c r="I44" s="352" t="s">
        <v>239</v>
      </c>
      <c r="J44" s="352" t="s">
        <v>195</v>
      </c>
      <c r="K44" s="384" t="e">
        <f>VLOOKUP(J44,#REF!,86,0)</f>
        <v>#REF!</v>
      </c>
      <c r="L44" s="387" t="e">
        <f t="shared" si="4"/>
        <v>#REF!</v>
      </c>
      <c r="M44" s="382" t="s">
        <v>113</v>
      </c>
      <c r="O44" s="310"/>
      <c r="P44" s="310"/>
      <c r="Q44" s="310"/>
    </row>
    <row r="45" spans="1:17" ht="21.6" hidden="1" customHeight="1">
      <c r="A45" s="310"/>
      <c r="B45" s="379">
        <v>46</v>
      </c>
      <c r="C45" s="73" t="str">
        <f t="shared" si="5"/>
        <v>A2</v>
      </c>
      <c r="D45" s="73">
        <v>42</v>
      </c>
      <c r="E45" s="382" t="s">
        <v>161</v>
      </c>
      <c r="F45" s="352" t="s">
        <v>239</v>
      </c>
      <c r="G45" s="352" t="s">
        <v>494</v>
      </c>
      <c r="H45" s="386" t="e">
        <f>VLOOKUP(G45,#REF!,86,0)</f>
        <v>#REF!</v>
      </c>
      <c r="I45" s="352" t="s">
        <v>239</v>
      </c>
      <c r="J45" s="352" t="s">
        <v>195</v>
      </c>
      <c r="K45" s="384" t="e">
        <f>VLOOKUP(J45,#REF!,86,0)</f>
        <v>#REF!</v>
      </c>
      <c r="L45" s="387" t="e">
        <f t="shared" si="4"/>
        <v>#REF!</v>
      </c>
      <c r="M45" s="382" t="s">
        <v>161</v>
      </c>
      <c r="O45" s="310"/>
      <c r="P45" s="310"/>
      <c r="Q45" s="310"/>
    </row>
    <row r="46" spans="1:17" ht="21.6" hidden="1" customHeight="1">
      <c r="A46" s="310"/>
      <c r="B46" s="379">
        <v>47</v>
      </c>
      <c r="C46" s="73" t="str">
        <f t="shared" si="5"/>
        <v>B2</v>
      </c>
      <c r="D46" s="73">
        <v>43</v>
      </c>
      <c r="E46" s="382" t="s">
        <v>155</v>
      </c>
      <c r="F46" s="352" t="s">
        <v>239</v>
      </c>
      <c r="G46" s="352" t="s">
        <v>495</v>
      </c>
      <c r="H46" s="386" t="e">
        <f>VLOOKUP(G46,#REF!,86,0)</f>
        <v>#REF!</v>
      </c>
      <c r="I46" s="352" t="s">
        <v>239</v>
      </c>
      <c r="J46" s="352" t="s">
        <v>195</v>
      </c>
      <c r="K46" s="384" t="e">
        <f>VLOOKUP(J46,#REF!,86,0)</f>
        <v>#REF!</v>
      </c>
      <c r="L46" s="387" t="e">
        <f t="shared" si="4"/>
        <v>#REF!</v>
      </c>
      <c r="M46" s="382" t="s">
        <v>155</v>
      </c>
      <c r="O46" s="310"/>
      <c r="P46" s="310"/>
      <c r="Q46" s="310"/>
    </row>
    <row r="47" spans="1:17" ht="21.6" hidden="1" customHeight="1">
      <c r="A47" s="310"/>
      <c r="B47" s="376">
        <v>48</v>
      </c>
      <c r="C47" s="73" t="str">
        <f t="shared" si="5"/>
        <v>C2</v>
      </c>
      <c r="D47" s="73">
        <v>44</v>
      </c>
      <c r="E47" s="382" t="s">
        <v>149</v>
      </c>
      <c r="F47" s="352" t="s">
        <v>239</v>
      </c>
      <c r="G47" s="352" t="s">
        <v>496</v>
      </c>
      <c r="H47" s="386" t="e">
        <f>VLOOKUP(G47,#REF!,86,0)</f>
        <v>#REF!</v>
      </c>
      <c r="I47" s="352" t="s">
        <v>239</v>
      </c>
      <c r="J47" s="352" t="s">
        <v>195</v>
      </c>
      <c r="K47" s="384" t="e">
        <f>VLOOKUP(J47,#REF!,86,0)</f>
        <v>#REF!</v>
      </c>
      <c r="L47" s="387" t="e">
        <f t="shared" si="4"/>
        <v>#REF!</v>
      </c>
      <c r="M47" s="382" t="s">
        <v>149</v>
      </c>
      <c r="O47" s="310"/>
      <c r="P47" s="310"/>
      <c r="Q47" s="310"/>
    </row>
    <row r="48" spans="1:17" ht="21.6" hidden="1" customHeight="1">
      <c r="A48" s="310"/>
      <c r="B48" s="379">
        <v>49</v>
      </c>
      <c r="C48" s="73" t="str">
        <f t="shared" si="5"/>
        <v>D2</v>
      </c>
      <c r="D48" s="73">
        <v>45</v>
      </c>
      <c r="E48" s="382" t="s">
        <v>143</v>
      </c>
      <c r="F48" s="352" t="s">
        <v>239</v>
      </c>
      <c r="G48" s="352" t="s">
        <v>497</v>
      </c>
      <c r="H48" s="386" t="e">
        <f>VLOOKUP(G48,#REF!,86,0)</f>
        <v>#REF!</v>
      </c>
      <c r="I48" s="352" t="s">
        <v>239</v>
      </c>
      <c r="J48" s="352" t="s">
        <v>195</v>
      </c>
      <c r="K48" s="384" t="e">
        <f>VLOOKUP(J48,#REF!,86,0)</f>
        <v>#REF!</v>
      </c>
      <c r="L48" s="387" t="e">
        <f t="shared" si="4"/>
        <v>#REF!</v>
      </c>
      <c r="M48" s="382" t="s">
        <v>143</v>
      </c>
      <c r="O48" s="310"/>
      <c r="P48" s="310"/>
      <c r="Q48" s="310"/>
    </row>
    <row r="49" spans="1:17" ht="21.6" hidden="1" customHeight="1">
      <c r="A49" s="310"/>
      <c r="B49" s="379">
        <v>50</v>
      </c>
      <c r="C49" s="73" t="str">
        <f t="shared" si="5"/>
        <v>F2</v>
      </c>
      <c r="D49" s="73">
        <v>46</v>
      </c>
      <c r="E49" s="382" t="s">
        <v>131</v>
      </c>
      <c r="F49" s="352" t="s">
        <v>239</v>
      </c>
      <c r="G49" s="352" t="s">
        <v>498</v>
      </c>
      <c r="H49" s="386" t="e">
        <f>VLOOKUP(G49,#REF!,86,0)</f>
        <v>#REF!</v>
      </c>
      <c r="I49" s="352" t="s">
        <v>239</v>
      </c>
      <c r="J49" s="352" t="s">
        <v>195</v>
      </c>
      <c r="K49" s="384" t="e">
        <f>VLOOKUP(J49,#REF!,86,0)</f>
        <v>#REF!</v>
      </c>
      <c r="L49" s="387" t="e">
        <f t="shared" si="4"/>
        <v>#REF!</v>
      </c>
      <c r="M49" s="382" t="s">
        <v>131</v>
      </c>
      <c r="O49" s="310"/>
      <c r="P49" s="310"/>
      <c r="Q49" s="310"/>
    </row>
    <row r="50" spans="1:17" ht="21.6" hidden="1" customHeight="1">
      <c r="A50" s="310"/>
      <c r="B50" s="376">
        <v>51</v>
      </c>
      <c r="C50" s="73" t="str">
        <f t="shared" si="5"/>
        <v>F2</v>
      </c>
      <c r="D50" s="73">
        <v>47</v>
      </c>
      <c r="E50" s="382" t="s">
        <v>131</v>
      </c>
      <c r="F50" s="352" t="s">
        <v>239</v>
      </c>
      <c r="G50" s="352" t="s">
        <v>499</v>
      </c>
      <c r="H50" s="386" t="e">
        <f>VLOOKUP(G50,#REF!,86,0)</f>
        <v>#REF!</v>
      </c>
      <c r="I50" s="352" t="s">
        <v>239</v>
      </c>
      <c r="J50" s="352" t="s">
        <v>195</v>
      </c>
      <c r="K50" s="384" t="e">
        <f>VLOOKUP(J50,#REF!,86,0)</f>
        <v>#REF!</v>
      </c>
      <c r="L50" s="387" t="e">
        <f t="shared" si="4"/>
        <v>#REF!</v>
      </c>
      <c r="M50" s="382" t="s">
        <v>131</v>
      </c>
      <c r="O50" s="310"/>
      <c r="P50" s="310"/>
      <c r="Q50" s="310"/>
    </row>
    <row r="51" spans="1:17" ht="21.6" hidden="1" customHeight="1">
      <c r="A51" s="310"/>
      <c r="B51" s="379">
        <v>52</v>
      </c>
      <c r="C51" s="73" t="str">
        <f t="shared" si="5"/>
        <v>H2</v>
      </c>
      <c r="D51" s="73">
        <v>48</v>
      </c>
      <c r="E51" s="382" t="s">
        <v>119</v>
      </c>
      <c r="F51" s="352" t="s">
        <v>239</v>
      </c>
      <c r="G51" s="352" t="s">
        <v>500</v>
      </c>
      <c r="H51" s="386" t="e">
        <f>VLOOKUP(G51,#REF!,86,0)</f>
        <v>#REF!</v>
      </c>
      <c r="I51" s="352" t="s">
        <v>239</v>
      </c>
      <c r="J51" s="352" t="s">
        <v>195</v>
      </c>
      <c r="K51" s="384" t="e">
        <f>VLOOKUP(J51,#REF!,86,0)</f>
        <v>#REF!</v>
      </c>
      <c r="L51" s="387" t="e">
        <f t="shared" si="4"/>
        <v>#REF!</v>
      </c>
      <c r="M51" s="382" t="s">
        <v>119</v>
      </c>
      <c r="O51" s="310"/>
      <c r="P51" s="310"/>
      <c r="Q51" s="310"/>
    </row>
    <row r="52" spans="1:17" ht="21.6" hidden="1" customHeight="1">
      <c r="A52" s="310"/>
      <c r="B52" s="379">
        <v>53</v>
      </c>
      <c r="C52" s="73" t="str">
        <f t="shared" si="5"/>
        <v>A3</v>
      </c>
      <c r="D52" s="73">
        <v>49</v>
      </c>
      <c r="E52" s="382" t="s">
        <v>167</v>
      </c>
      <c r="F52" s="352" t="s">
        <v>239</v>
      </c>
      <c r="G52" s="352" t="s">
        <v>501</v>
      </c>
      <c r="H52" s="386" t="e">
        <f>VLOOKUP(G52,#REF!,86,0)</f>
        <v>#REF!</v>
      </c>
      <c r="I52" s="352" t="s">
        <v>239</v>
      </c>
      <c r="J52" s="352" t="s">
        <v>195</v>
      </c>
      <c r="K52" s="384" t="e">
        <f>VLOOKUP(J52,#REF!,86,0)</f>
        <v>#REF!</v>
      </c>
      <c r="L52" s="387" t="e">
        <f t="shared" si="4"/>
        <v>#REF!</v>
      </c>
      <c r="M52" s="388" t="s">
        <v>167</v>
      </c>
      <c r="O52" s="310"/>
      <c r="P52" s="310"/>
      <c r="Q52" s="310"/>
    </row>
    <row r="53" spans="1:17" ht="21.6" hidden="1" customHeight="1">
      <c r="A53" s="310"/>
      <c r="B53" s="376">
        <v>54</v>
      </c>
      <c r="C53" s="73" t="str">
        <f t="shared" si="5"/>
        <v>B3</v>
      </c>
      <c r="D53" s="73">
        <v>50</v>
      </c>
      <c r="E53" s="382" t="s">
        <v>173</v>
      </c>
      <c r="F53" s="352" t="s">
        <v>239</v>
      </c>
      <c r="G53" s="352" t="s">
        <v>502</v>
      </c>
      <c r="H53" s="386" t="e">
        <f>VLOOKUP(G53,#REF!,86,0)</f>
        <v>#REF!</v>
      </c>
      <c r="I53" s="352" t="s">
        <v>239</v>
      </c>
      <c r="J53" s="352" t="s">
        <v>195</v>
      </c>
      <c r="K53" s="384" t="e">
        <f>VLOOKUP(J53,#REF!,86,0)</f>
        <v>#REF!</v>
      </c>
      <c r="L53" s="387" t="e">
        <f t="shared" si="4"/>
        <v>#REF!</v>
      </c>
      <c r="M53" s="388" t="s">
        <v>173</v>
      </c>
      <c r="O53" s="310"/>
      <c r="P53" s="310"/>
      <c r="Q53" s="310"/>
    </row>
    <row r="54" spans="1:17" ht="21.6" hidden="1" customHeight="1">
      <c r="A54" s="310"/>
      <c r="B54" s="379">
        <v>55</v>
      </c>
      <c r="C54" s="73" t="str">
        <f t="shared" si="5"/>
        <v>C3</v>
      </c>
      <c r="D54" s="73">
        <v>51</v>
      </c>
      <c r="E54" s="382" t="s">
        <v>178</v>
      </c>
      <c r="F54" s="352" t="s">
        <v>239</v>
      </c>
      <c r="G54" s="352" t="s">
        <v>503</v>
      </c>
      <c r="H54" s="386" t="e">
        <f>VLOOKUP(G54,#REF!,86,0)</f>
        <v>#REF!</v>
      </c>
      <c r="I54" s="352" t="s">
        <v>239</v>
      </c>
      <c r="J54" s="352" t="s">
        <v>195</v>
      </c>
      <c r="K54" s="384" t="e">
        <f>VLOOKUP(J54,#REF!,86,0)</f>
        <v>#REF!</v>
      </c>
      <c r="L54" s="387" t="e">
        <f t="shared" si="4"/>
        <v>#REF!</v>
      </c>
      <c r="M54" s="388" t="s">
        <v>178</v>
      </c>
      <c r="O54" s="310"/>
      <c r="P54" s="310"/>
      <c r="Q54" s="310"/>
    </row>
    <row r="55" spans="1:17" ht="21.6" hidden="1" customHeight="1">
      <c r="A55" s="310"/>
      <c r="B55" s="379">
        <v>56</v>
      </c>
      <c r="C55" s="73" t="str">
        <f t="shared" si="5"/>
        <v>D3</v>
      </c>
      <c r="D55" s="73">
        <v>52</v>
      </c>
      <c r="E55" s="382" t="s">
        <v>184</v>
      </c>
      <c r="F55" s="352" t="s">
        <v>239</v>
      </c>
      <c r="G55" s="352" t="s">
        <v>504</v>
      </c>
      <c r="H55" s="386" t="e">
        <f>VLOOKUP(G55,#REF!,86,0)</f>
        <v>#REF!</v>
      </c>
      <c r="I55" s="352" t="s">
        <v>239</v>
      </c>
      <c r="J55" s="352" t="s">
        <v>195</v>
      </c>
      <c r="K55" s="384" t="e">
        <f>VLOOKUP(J55,#REF!,86,0)</f>
        <v>#REF!</v>
      </c>
      <c r="L55" s="387" t="e">
        <f t="shared" si="4"/>
        <v>#REF!</v>
      </c>
      <c r="M55" s="388" t="s">
        <v>184</v>
      </c>
      <c r="O55" s="310"/>
      <c r="P55" s="310"/>
      <c r="Q55" s="310"/>
    </row>
    <row r="56" spans="1:17" ht="21.6" hidden="1" customHeight="1">
      <c r="A56" s="310"/>
      <c r="B56" s="376">
        <v>57</v>
      </c>
      <c r="C56" s="73" t="str">
        <f t="shared" si="5"/>
        <v>E3</v>
      </c>
      <c r="D56" s="73">
        <v>53</v>
      </c>
      <c r="E56" s="382" t="s">
        <v>190</v>
      </c>
      <c r="F56" s="352" t="s">
        <v>239</v>
      </c>
      <c r="G56" s="352" t="s">
        <v>505</v>
      </c>
      <c r="H56" s="386" t="e">
        <f>VLOOKUP(G56,#REF!,86,0)</f>
        <v>#REF!</v>
      </c>
      <c r="I56" s="352" t="s">
        <v>239</v>
      </c>
      <c r="J56" s="352" t="s">
        <v>195</v>
      </c>
      <c r="K56" s="384" t="e">
        <f>VLOOKUP(J56,#REF!,86,0)</f>
        <v>#REF!</v>
      </c>
      <c r="L56" s="387" t="e">
        <f t="shared" si="4"/>
        <v>#REF!</v>
      </c>
      <c r="M56" s="388" t="s">
        <v>190</v>
      </c>
      <c r="O56" s="310"/>
      <c r="P56" s="310"/>
      <c r="Q56" s="310"/>
    </row>
    <row r="57" spans="1:17" ht="21.6" hidden="1" customHeight="1">
      <c r="A57" s="310"/>
      <c r="B57" s="379">
        <v>58</v>
      </c>
      <c r="C57" s="73" t="str">
        <f t="shared" si="5"/>
        <v>F3</v>
      </c>
      <c r="D57" s="73">
        <v>54</v>
      </c>
      <c r="E57" s="382" t="s">
        <v>196</v>
      </c>
      <c r="F57" s="352" t="s">
        <v>239</v>
      </c>
      <c r="G57" s="352" t="s">
        <v>506</v>
      </c>
      <c r="H57" s="386" t="e">
        <f>VLOOKUP(G57,#REF!,86,0)</f>
        <v>#REF!</v>
      </c>
      <c r="I57" s="352" t="s">
        <v>239</v>
      </c>
      <c r="J57" s="352" t="s">
        <v>195</v>
      </c>
      <c r="K57" s="384" t="e">
        <f>VLOOKUP(J57,#REF!,86,0)</f>
        <v>#REF!</v>
      </c>
      <c r="L57" s="387" t="e">
        <f t="shared" si="4"/>
        <v>#REF!</v>
      </c>
      <c r="M57" s="388" t="s">
        <v>196</v>
      </c>
      <c r="O57" s="310"/>
      <c r="P57" s="310"/>
      <c r="Q57" s="310"/>
    </row>
    <row r="58" spans="1:17" ht="21.6" hidden="1" customHeight="1">
      <c r="A58" s="310"/>
      <c r="B58" s="379">
        <v>59</v>
      </c>
      <c r="C58" s="73" t="str">
        <f t="shared" si="5"/>
        <v>G3</v>
      </c>
      <c r="D58" s="73">
        <v>55</v>
      </c>
      <c r="E58" s="382" t="s">
        <v>507</v>
      </c>
      <c r="F58" s="352" t="s">
        <v>239</v>
      </c>
      <c r="G58" s="352" t="s">
        <v>508</v>
      </c>
      <c r="H58" s="386" t="e">
        <f>VLOOKUP(G58,#REF!,86,0)</f>
        <v>#REF!</v>
      </c>
      <c r="I58" s="352" t="s">
        <v>239</v>
      </c>
      <c r="J58" s="352" t="s">
        <v>195</v>
      </c>
      <c r="K58" s="384" t="e">
        <f>VLOOKUP(J58,#REF!,86,0)</f>
        <v>#REF!</v>
      </c>
      <c r="L58" s="387" t="e">
        <f t="shared" si="4"/>
        <v>#REF!</v>
      </c>
      <c r="M58" s="388" t="s">
        <v>213</v>
      </c>
      <c r="O58" s="310"/>
      <c r="P58" s="310"/>
      <c r="Q58" s="310"/>
    </row>
    <row r="59" spans="1:17" ht="21.6" hidden="1" customHeight="1">
      <c r="A59" s="310"/>
      <c r="B59" s="376">
        <v>60</v>
      </c>
      <c r="C59" s="73" t="str">
        <f t="shared" si="5"/>
        <v>H3</v>
      </c>
      <c r="D59" s="73">
        <v>56</v>
      </c>
      <c r="E59" s="382" t="s">
        <v>509</v>
      </c>
      <c r="F59" s="352" t="s">
        <v>239</v>
      </c>
      <c r="G59" s="352" t="s">
        <v>510</v>
      </c>
      <c r="H59" s="386" t="e">
        <f>VLOOKUP(G59,#REF!,86,0)</f>
        <v>#REF!</v>
      </c>
      <c r="I59" s="352" t="s">
        <v>239</v>
      </c>
      <c r="J59" s="352" t="s">
        <v>195</v>
      </c>
      <c r="K59" s="384" t="e">
        <f>VLOOKUP(J59,#REF!,86,0)</f>
        <v>#REF!</v>
      </c>
      <c r="L59" s="387" t="e">
        <f t="shared" si="4"/>
        <v>#REF!</v>
      </c>
      <c r="M59" s="388" t="s">
        <v>205</v>
      </c>
      <c r="O59" s="310"/>
      <c r="P59" s="310"/>
      <c r="Q59" s="310"/>
    </row>
    <row r="60" spans="1:17" ht="21.6" hidden="1" customHeight="1">
      <c r="A60" s="310"/>
      <c r="B60" s="376">
        <v>60</v>
      </c>
      <c r="C60" s="73" t="str">
        <f t="shared" si="5"/>
        <v>A3</v>
      </c>
      <c r="D60" s="310"/>
      <c r="E60" s="382" t="s">
        <v>167</v>
      </c>
      <c r="F60" s="352" t="s">
        <v>239</v>
      </c>
      <c r="G60" s="352" t="s">
        <v>511</v>
      </c>
      <c r="H60" s="386" t="e">
        <f>VLOOKUP(G60,#REF!,86,0)</f>
        <v>#REF!</v>
      </c>
      <c r="I60" s="352" t="s">
        <v>239</v>
      </c>
      <c r="J60" s="352" t="s">
        <v>195</v>
      </c>
      <c r="K60" s="384" t="e">
        <f>VLOOKUP(J60,#REF!,86,0)</f>
        <v>#REF!</v>
      </c>
      <c r="L60" s="387" t="e">
        <f t="shared" si="4"/>
        <v>#REF!</v>
      </c>
      <c r="M60" s="382" t="s">
        <v>167</v>
      </c>
      <c r="O60" s="310"/>
      <c r="P60" s="310"/>
      <c r="Q60" s="310"/>
    </row>
    <row r="61" spans="1:17" ht="21.6" hidden="1" customHeight="1">
      <c r="A61" s="310"/>
      <c r="B61" s="376">
        <v>60</v>
      </c>
      <c r="C61" s="73" t="str">
        <f t="shared" si="5"/>
        <v>B3</v>
      </c>
      <c r="D61" s="29"/>
      <c r="E61" s="350" t="s">
        <v>173</v>
      </c>
      <c r="F61" s="352" t="s">
        <v>239</v>
      </c>
      <c r="G61" s="352" t="s">
        <v>512</v>
      </c>
      <c r="H61" s="386" t="e">
        <f>VLOOKUP(G61,#REF!,86,0)</f>
        <v>#REF!</v>
      </c>
      <c r="I61" s="352" t="s">
        <v>239</v>
      </c>
      <c r="J61" s="352" t="s">
        <v>195</v>
      </c>
      <c r="K61" s="384" t="e">
        <f>VLOOKUP(J61,#REF!,86,0)</f>
        <v>#REF!</v>
      </c>
      <c r="L61" s="387" t="e">
        <f t="shared" si="4"/>
        <v>#REF!</v>
      </c>
      <c r="M61" s="350" t="s">
        <v>173</v>
      </c>
      <c r="O61" s="310"/>
      <c r="P61" s="310"/>
      <c r="Q61" s="310"/>
    </row>
    <row r="62" spans="1:17" ht="21.6" hidden="1" customHeight="1">
      <c r="A62" s="310"/>
      <c r="B62" s="376">
        <v>60</v>
      </c>
      <c r="C62" s="73" t="str">
        <f t="shared" si="5"/>
        <v>C3</v>
      </c>
      <c r="D62" s="310"/>
      <c r="E62" s="389" t="s">
        <v>178</v>
      </c>
      <c r="F62" s="352" t="s">
        <v>239</v>
      </c>
      <c r="G62" s="352" t="s">
        <v>513</v>
      </c>
      <c r="H62" s="386" t="e">
        <f>VLOOKUP(G62,#REF!,86,0)</f>
        <v>#REF!</v>
      </c>
      <c r="I62" s="352" t="s">
        <v>239</v>
      </c>
      <c r="J62" s="352" t="s">
        <v>195</v>
      </c>
      <c r="K62" s="384" t="e">
        <f>VLOOKUP(J62,#REF!,86,0)</f>
        <v>#REF!</v>
      </c>
      <c r="L62" s="387" t="e">
        <f t="shared" si="4"/>
        <v>#REF!</v>
      </c>
      <c r="M62" s="389" t="s">
        <v>178</v>
      </c>
      <c r="O62" s="310"/>
      <c r="P62" s="310"/>
      <c r="Q62" s="310"/>
    </row>
    <row r="63" spans="1:17" ht="21.6" hidden="1" customHeight="1">
      <c r="A63" s="310"/>
      <c r="B63" s="376">
        <v>60</v>
      </c>
      <c r="C63" s="73" t="str">
        <f t="shared" si="5"/>
        <v>D3</v>
      </c>
      <c r="D63" s="310"/>
      <c r="E63" s="389" t="s">
        <v>184</v>
      </c>
      <c r="F63" s="352" t="s">
        <v>239</v>
      </c>
      <c r="G63" s="352" t="s">
        <v>514</v>
      </c>
      <c r="H63" s="386" t="e">
        <f>VLOOKUP(G63,#REF!,86,0)</f>
        <v>#REF!</v>
      </c>
      <c r="I63" s="352" t="s">
        <v>239</v>
      </c>
      <c r="J63" s="352" t="s">
        <v>195</v>
      </c>
      <c r="K63" s="384" t="e">
        <f>VLOOKUP(J63,#REF!,86,0)</f>
        <v>#REF!</v>
      </c>
      <c r="L63" s="387" t="e">
        <f t="shared" si="4"/>
        <v>#REF!</v>
      </c>
      <c r="M63" s="389" t="s">
        <v>184</v>
      </c>
      <c r="O63" s="310"/>
      <c r="P63" s="310"/>
      <c r="Q63" s="310"/>
    </row>
    <row r="64" spans="1:17" ht="21.6" hidden="1" customHeight="1">
      <c r="A64" s="310"/>
      <c r="B64" s="376">
        <v>60</v>
      </c>
      <c r="C64" s="73" t="str">
        <f t="shared" si="5"/>
        <v>E3</v>
      </c>
      <c r="D64" s="310"/>
      <c r="E64" s="389" t="s">
        <v>190</v>
      </c>
      <c r="F64" s="352" t="s">
        <v>239</v>
      </c>
      <c r="G64" s="352" t="s">
        <v>515</v>
      </c>
      <c r="H64" s="386" t="e">
        <f>VLOOKUP(G64,#REF!,86,0)</f>
        <v>#REF!</v>
      </c>
      <c r="I64" s="352" t="s">
        <v>239</v>
      </c>
      <c r="J64" s="352" t="s">
        <v>195</v>
      </c>
      <c r="K64" s="384" t="e">
        <f>VLOOKUP(J64,#REF!,86,0)</f>
        <v>#REF!</v>
      </c>
      <c r="L64" s="387" t="e">
        <f t="shared" si="4"/>
        <v>#REF!</v>
      </c>
      <c r="M64" s="389" t="s">
        <v>190</v>
      </c>
      <c r="O64" s="310"/>
      <c r="P64" s="310"/>
      <c r="Q64" s="310"/>
    </row>
    <row r="65" spans="1:17" ht="21.6" hidden="1" customHeight="1">
      <c r="A65" s="310"/>
      <c r="B65" s="376">
        <v>60</v>
      </c>
      <c r="C65" s="73" t="str">
        <f t="shared" si="5"/>
        <v>F3</v>
      </c>
      <c r="D65" s="310"/>
      <c r="E65" s="389" t="s">
        <v>196</v>
      </c>
      <c r="F65" s="352" t="s">
        <v>239</v>
      </c>
      <c r="G65" s="352" t="s">
        <v>516</v>
      </c>
      <c r="H65" s="386" t="e">
        <f>VLOOKUP(G65,#REF!,86,0)</f>
        <v>#REF!</v>
      </c>
      <c r="I65" s="352" t="s">
        <v>239</v>
      </c>
      <c r="J65" s="352" t="s">
        <v>195</v>
      </c>
      <c r="K65" s="384" t="e">
        <f>VLOOKUP(J65,#REF!,86,0)</f>
        <v>#REF!</v>
      </c>
      <c r="L65" s="387" t="e">
        <f t="shared" si="4"/>
        <v>#REF!</v>
      </c>
      <c r="M65" s="389" t="s">
        <v>196</v>
      </c>
      <c r="O65" s="310"/>
      <c r="P65" s="310"/>
      <c r="Q65" s="310"/>
    </row>
    <row r="66" spans="1:17" ht="21.6" hidden="1" customHeight="1">
      <c r="A66" s="310"/>
      <c r="B66" s="376">
        <v>60</v>
      </c>
      <c r="C66" s="73" t="str">
        <f t="shared" si="5"/>
        <v>AB3</v>
      </c>
      <c r="D66" s="310"/>
      <c r="E66" s="389" t="s">
        <v>254</v>
      </c>
      <c r="F66" s="352" t="s">
        <v>239</v>
      </c>
      <c r="G66" s="352" t="s">
        <v>517</v>
      </c>
      <c r="H66" s="386" t="e">
        <f>VLOOKUP(G66,#REF!,86,0)</f>
        <v>#REF!</v>
      </c>
      <c r="I66" s="352" t="s">
        <v>239</v>
      </c>
      <c r="J66" s="352" t="s">
        <v>195</v>
      </c>
      <c r="K66" s="384" t="e">
        <f>VLOOKUP(J66,#REF!,86,0)</f>
        <v>#REF!</v>
      </c>
      <c r="L66" s="387" t="e">
        <f t="shared" si="4"/>
        <v>#REF!</v>
      </c>
      <c r="M66" s="389" t="s">
        <v>254</v>
      </c>
      <c r="O66" s="310"/>
      <c r="P66" s="310"/>
      <c r="Q66" s="310"/>
    </row>
    <row r="67" spans="1:17" ht="21.6" hidden="1" customHeight="1">
      <c r="A67" s="310"/>
      <c r="B67" s="376">
        <v>60</v>
      </c>
      <c r="C67" s="73" t="str">
        <f t="shared" si="5"/>
        <v>AB4</v>
      </c>
      <c r="D67" s="310"/>
      <c r="E67" s="382" t="s">
        <v>518</v>
      </c>
      <c r="F67" s="352" t="s">
        <v>239</v>
      </c>
      <c r="G67" s="352" t="s">
        <v>519</v>
      </c>
      <c r="H67" s="386" t="e">
        <f>VLOOKUP(G67,#REF!,86,0)</f>
        <v>#REF!</v>
      </c>
      <c r="I67" s="352" t="s">
        <v>239</v>
      </c>
      <c r="J67" s="352" t="s">
        <v>195</v>
      </c>
      <c r="K67" s="384" t="e">
        <f>VLOOKUP(J67,#REF!,86,0)</f>
        <v>#REF!</v>
      </c>
      <c r="L67" s="387" t="e">
        <f t="shared" si="4"/>
        <v>#REF!</v>
      </c>
      <c r="M67" s="388" t="s">
        <v>255</v>
      </c>
      <c r="O67" s="310"/>
      <c r="P67" s="310"/>
      <c r="Q67" s="310"/>
    </row>
    <row r="68" spans="1:17" ht="21.6" hidden="1" customHeight="1">
      <c r="A68" s="310"/>
      <c r="B68" s="310"/>
      <c r="C68" s="73" t="str">
        <f t="shared" si="5"/>
        <v>F4</v>
      </c>
      <c r="D68" s="310"/>
      <c r="E68" s="382" t="s">
        <v>238</v>
      </c>
      <c r="F68" s="352" t="s">
        <v>239</v>
      </c>
      <c r="G68" s="352" t="s">
        <v>520</v>
      </c>
      <c r="H68" s="386" t="e">
        <f>VLOOKUP(G68,#REF!,86,0)</f>
        <v>#REF!</v>
      </c>
      <c r="I68" s="352" t="s">
        <v>239</v>
      </c>
      <c r="J68" s="352" t="s">
        <v>195</v>
      </c>
      <c r="K68" s="384" t="e">
        <f>VLOOKUP(J68,#REF!,86,0)</f>
        <v>#REF!</v>
      </c>
      <c r="L68" s="387" t="e">
        <f t="shared" si="4"/>
        <v>#REF!</v>
      </c>
      <c r="M68" s="388" t="s">
        <v>238</v>
      </c>
      <c r="O68" s="310"/>
      <c r="P68" s="310"/>
      <c r="Q68" s="310"/>
    </row>
    <row r="69" spans="1:17" ht="21.6" hidden="1" customHeight="1">
      <c r="A69" s="310"/>
      <c r="B69" s="310"/>
      <c r="C69" s="73" t="str">
        <f t="shared" si="5"/>
        <v>E2</v>
      </c>
      <c r="D69" s="310"/>
      <c r="E69" s="382" t="s">
        <v>137</v>
      </c>
      <c r="F69" s="352" t="s">
        <v>239</v>
      </c>
      <c r="G69" s="352" t="s">
        <v>521</v>
      </c>
      <c r="H69" s="386" t="e">
        <f>VLOOKUP(G69,#REF!,86,0)</f>
        <v>#REF!</v>
      </c>
      <c r="I69" s="352" t="s">
        <v>239</v>
      </c>
      <c r="J69" s="352" t="s">
        <v>195</v>
      </c>
      <c r="K69" s="384" t="e">
        <f>VLOOKUP(J69,#REF!,86,0)</f>
        <v>#REF!</v>
      </c>
      <c r="L69" s="387" t="e">
        <f t="shared" si="4"/>
        <v>#REF!</v>
      </c>
      <c r="M69" s="388" t="s">
        <v>137</v>
      </c>
      <c r="O69" s="310"/>
      <c r="P69" s="310"/>
      <c r="Q69" s="310"/>
    </row>
    <row r="70" spans="1:17" ht="21.6" hidden="1" customHeight="1">
      <c r="A70" s="310"/>
      <c r="B70" s="310"/>
      <c r="C70" s="73" t="str">
        <f t="shared" si="5"/>
        <v>C4</v>
      </c>
      <c r="D70" s="310"/>
      <c r="E70" s="382" t="s">
        <v>200</v>
      </c>
      <c r="F70" s="352" t="s">
        <v>239</v>
      </c>
      <c r="G70" s="352" t="s">
        <v>522</v>
      </c>
      <c r="H70" s="386" t="e">
        <f>VLOOKUP(G70,#REF!,86,0)</f>
        <v>#REF!</v>
      </c>
      <c r="I70" s="352" t="s">
        <v>239</v>
      </c>
      <c r="J70" s="352" t="s">
        <v>195</v>
      </c>
      <c r="K70" s="384" t="e">
        <f>VLOOKUP(J70,#REF!,86,0)</f>
        <v>#REF!</v>
      </c>
      <c r="L70" s="387" t="e">
        <f t="shared" si="4"/>
        <v>#REF!</v>
      </c>
      <c r="M70" s="388" t="s">
        <v>200</v>
      </c>
      <c r="O70" s="310"/>
      <c r="P70" s="310"/>
      <c r="Q70" s="310"/>
    </row>
    <row r="71" spans="1:17" ht="21" hidden="1" customHeight="1">
      <c r="A71" s="310"/>
      <c r="B71" s="310"/>
      <c r="C71" s="73" t="str">
        <f t="shared" si="5"/>
        <v>D4</v>
      </c>
      <c r="D71" s="310"/>
      <c r="E71" s="382" t="s">
        <v>217</v>
      </c>
      <c r="F71" s="352" t="s">
        <v>239</v>
      </c>
      <c r="G71" s="352" t="s">
        <v>523</v>
      </c>
      <c r="H71" s="386" t="e">
        <f>VLOOKUP(G71,#REF!,86,0)</f>
        <v>#REF!</v>
      </c>
      <c r="I71" s="352" t="s">
        <v>239</v>
      </c>
      <c r="J71" s="352" t="s">
        <v>195</v>
      </c>
      <c r="K71" s="384" t="e">
        <f>VLOOKUP(J71,#REF!,86,0)</f>
        <v>#REF!</v>
      </c>
      <c r="L71" s="387" t="e">
        <f t="shared" si="4"/>
        <v>#REF!</v>
      </c>
      <c r="M71" s="388" t="s">
        <v>217</v>
      </c>
      <c r="O71" s="310"/>
      <c r="P71" s="310"/>
      <c r="Q71" s="310"/>
    </row>
    <row r="72" spans="1:17">
      <c r="B72" s="390"/>
      <c r="M72" s="391"/>
    </row>
  </sheetData>
  <printOptions horizontalCentered="1"/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127"/>
  <sheetViews>
    <sheetView topLeftCell="A26" zoomScale="75" zoomScaleNormal="75" workbookViewId="0">
      <selection activeCell="B20" sqref="B20"/>
    </sheetView>
  </sheetViews>
  <sheetFormatPr defaultRowHeight="17.25"/>
  <cols>
    <col min="1" max="1" width="6.33203125" style="128" customWidth="1"/>
    <col min="2" max="2" width="19.109375" style="128" customWidth="1"/>
    <col min="3" max="6" width="15.77734375" style="128" customWidth="1"/>
    <col min="7" max="7" width="10.6640625" style="128" customWidth="1"/>
    <col min="8" max="8" width="11" style="128" customWidth="1"/>
    <col min="9" max="9" width="12.88671875" style="128" customWidth="1"/>
    <col min="10" max="10" width="10.6640625" style="128" customWidth="1"/>
    <col min="11" max="11" width="16.44140625" style="128" customWidth="1"/>
    <col min="12" max="12" width="7.6640625" style="128" customWidth="1"/>
    <col min="13" max="13" width="14.109375" style="128" hidden="1" customWidth="1"/>
    <col min="14" max="14" width="22.5546875" style="128" hidden="1" customWidth="1"/>
    <col min="15" max="15" width="15.5546875" style="128" hidden="1" customWidth="1"/>
    <col min="16" max="16" width="9.5546875" style="128" hidden="1" customWidth="1"/>
    <col min="17" max="1025" width="7.6640625" style="128" customWidth="1"/>
  </cols>
  <sheetData>
    <row r="1" spans="2:10" ht="18.75">
      <c r="B1" s="392" t="s">
        <v>524</v>
      </c>
      <c r="C1" s="132"/>
      <c r="D1" s="132"/>
      <c r="E1" s="134"/>
      <c r="F1" s="134"/>
      <c r="G1" s="134"/>
    </row>
    <row r="2" spans="2:10">
      <c r="B2" s="131"/>
      <c r="C2" s="132"/>
      <c r="D2" s="132"/>
      <c r="E2" s="134"/>
      <c r="F2" s="134"/>
      <c r="G2" s="134"/>
    </row>
    <row r="3" spans="2:10">
      <c r="B3" s="131" t="s">
        <v>525</v>
      </c>
      <c r="C3" s="132"/>
      <c r="D3" s="132"/>
      <c r="E3" s="134"/>
      <c r="F3" s="134"/>
      <c r="G3" s="134"/>
    </row>
    <row r="4" spans="2:10">
      <c r="B4" s="134"/>
      <c r="C4" s="134"/>
      <c r="D4" s="131" t="s">
        <v>526</v>
      </c>
      <c r="E4" s="131"/>
      <c r="F4" s="132"/>
      <c r="G4" s="134"/>
    </row>
    <row r="5" spans="2:10">
      <c r="B5" s="134"/>
      <c r="C5" s="134"/>
      <c r="D5" s="135" t="s">
        <v>527</v>
      </c>
      <c r="E5" s="135"/>
      <c r="F5" s="393"/>
      <c r="G5" s="394"/>
      <c r="H5" s="140"/>
      <c r="I5" s="140"/>
    </row>
    <row r="6" spans="2:10">
      <c r="B6" s="149"/>
      <c r="C6" s="149"/>
      <c r="D6" s="395"/>
      <c r="E6" s="140"/>
      <c r="F6" s="140"/>
      <c r="G6" s="140"/>
      <c r="H6" s="140"/>
      <c r="I6" s="140"/>
    </row>
    <row r="7" spans="2:10">
      <c r="C7" s="142" t="s">
        <v>266</v>
      </c>
      <c r="D7" s="142" t="s">
        <v>267</v>
      </c>
      <c r="E7" s="142" t="s">
        <v>268</v>
      </c>
      <c r="F7" s="396" t="s">
        <v>269</v>
      </c>
      <c r="G7" s="141"/>
      <c r="H7" s="141"/>
    </row>
    <row r="8" spans="2:10" ht="18.75" customHeight="1">
      <c r="C8" s="145" t="s">
        <v>274</v>
      </c>
      <c r="D8" s="145" t="s">
        <v>275</v>
      </c>
      <c r="E8" s="145" t="s">
        <v>276</v>
      </c>
      <c r="F8" s="145" t="s">
        <v>277</v>
      </c>
      <c r="G8" s="144"/>
      <c r="H8" s="144"/>
    </row>
    <row r="9" spans="2:10">
      <c r="C9" s="145" t="s">
        <v>281</v>
      </c>
      <c r="D9" s="145" t="s">
        <v>280</v>
      </c>
      <c r="E9" s="145" t="s">
        <v>279</v>
      </c>
      <c r="F9" s="145" t="s">
        <v>278</v>
      </c>
      <c r="G9" s="144"/>
      <c r="H9" s="144"/>
    </row>
    <row r="10" spans="2:10">
      <c r="C10" s="145" t="s">
        <v>289</v>
      </c>
      <c r="D10" s="145" t="s">
        <v>288</v>
      </c>
      <c r="E10" s="145" t="s">
        <v>287</v>
      </c>
      <c r="F10" s="145" t="s">
        <v>286</v>
      </c>
      <c r="G10" s="144"/>
      <c r="H10" s="144"/>
    </row>
    <row r="11" spans="2:10">
      <c r="C11" s="145" t="s">
        <v>240</v>
      </c>
      <c r="D11" s="145" t="s">
        <v>240</v>
      </c>
      <c r="E11" s="145" t="s">
        <v>240</v>
      </c>
      <c r="F11" s="145" t="s">
        <v>285</v>
      </c>
      <c r="G11" s="144"/>
      <c r="H11" s="144"/>
    </row>
    <row r="12" spans="2:10">
      <c r="B12" s="147"/>
    </row>
    <row r="13" spans="2:10">
      <c r="B13" s="147"/>
    </row>
    <row r="14" spans="2:10" s="134" customFormat="1" ht="16.5">
      <c r="B14" s="131"/>
      <c r="D14" s="397" t="s">
        <v>528</v>
      </c>
      <c r="E14" s="135"/>
      <c r="F14" s="135"/>
      <c r="G14" s="135"/>
      <c r="H14" s="131"/>
      <c r="I14" s="131"/>
      <c r="J14" s="131"/>
    </row>
    <row r="15" spans="2:10" s="134" customFormat="1" ht="16.5">
      <c r="B15" s="135"/>
      <c r="D15" s="135"/>
      <c r="E15" s="135"/>
      <c r="F15" s="135"/>
      <c r="G15" s="135"/>
      <c r="H15" s="131"/>
      <c r="I15" s="131"/>
      <c r="J15" s="131"/>
    </row>
    <row r="16" spans="2:10" s="134" customFormat="1" ht="16.5">
      <c r="B16" s="135"/>
      <c r="D16" s="397" t="s">
        <v>529</v>
      </c>
      <c r="E16" s="135"/>
      <c r="F16" s="135"/>
      <c r="G16" s="135"/>
      <c r="H16" s="131"/>
      <c r="I16" s="131"/>
      <c r="J16" s="131"/>
    </row>
    <row r="17" spans="2:17" s="134" customFormat="1" ht="16.5">
      <c r="B17" s="135"/>
      <c r="D17" s="397" t="s">
        <v>530</v>
      </c>
      <c r="E17" s="135"/>
      <c r="F17" s="135"/>
      <c r="G17" s="135"/>
      <c r="H17" s="131"/>
      <c r="I17" s="131"/>
      <c r="J17" s="131"/>
    </row>
    <row r="18" spans="2:17" s="134" customFormat="1" ht="16.5">
      <c r="B18" s="131"/>
    </row>
    <row r="19" spans="2:17" s="134" customFormat="1" ht="16.5">
      <c r="B19" s="131" t="s">
        <v>713</v>
      </c>
      <c r="D19" s="133"/>
    </row>
    <row r="20" spans="2:17" s="134" customFormat="1" ht="16.5">
      <c r="B20" s="131"/>
      <c r="D20" s="133"/>
    </row>
    <row r="21" spans="2:17">
      <c r="C21" s="398" t="s">
        <v>71</v>
      </c>
      <c r="D21" s="129"/>
    </row>
    <row r="22" spans="2:17" ht="18">
      <c r="B22" s="310"/>
      <c r="C22" s="76" t="str">
        <f>女乙賽程!S8</f>
        <v>筱瑩</v>
      </c>
      <c r="D22" s="399"/>
      <c r="E22" s="167"/>
      <c r="F22" s="168"/>
      <c r="G22" s="168"/>
      <c r="H22" s="168"/>
      <c r="I22" s="168"/>
      <c r="L22" s="129"/>
    </row>
    <row r="23" spans="2:17">
      <c r="B23" s="310"/>
      <c r="C23" s="310"/>
      <c r="D23" s="400" t="s">
        <v>531</v>
      </c>
      <c r="E23" s="401"/>
      <c r="F23" s="247"/>
      <c r="G23" s="168"/>
      <c r="H23" s="168"/>
      <c r="I23" s="168"/>
      <c r="L23" s="129"/>
    </row>
    <row r="24" spans="2:17" ht="18">
      <c r="B24" s="310"/>
      <c r="C24" s="310"/>
      <c r="D24" s="402" t="s">
        <v>532</v>
      </c>
      <c r="E24" s="403"/>
      <c r="F24" s="247"/>
      <c r="G24" s="168"/>
      <c r="H24" s="168"/>
      <c r="I24" s="168"/>
      <c r="J24" s="168"/>
      <c r="K24" s="163"/>
      <c r="L24" s="404"/>
    </row>
    <row r="25" spans="2:17" ht="18">
      <c r="B25" s="310"/>
      <c r="C25" s="310"/>
      <c r="D25" s="405"/>
      <c r="E25" s="406"/>
      <c r="F25" s="264" t="str">
        <f>C22</f>
        <v>筱瑩</v>
      </c>
      <c r="G25" s="168"/>
      <c r="H25" s="168"/>
      <c r="I25" s="168"/>
      <c r="J25" s="168"/>
      <c r="K25" s="407"/>
      <c r="L25" s="129"/>
      <c r="M25" s="167"/>
      <c r="N25" s="168"/>
      <c r="O25" s="168"/>
      <c r="P25" s="168"/>
      <c r="Q25" s="168"/>
    </row>
    <row r="26" spans="2:17" ht="18">
      <c r="B26" s="310"/>
      <c r="C26" s="76" t="str">
        <f>C72</f>
        <v>limit</v>
      </c>
      <c r="D26" s="408"/>
      <c r="E26" s="167"/>
      <c r="F26" s="402"/>
      <c r="G26" s="409"/>
      <c r="H26" s="168"/>
      <c r="I26" s="168"/>
      <c r="J26" s="168"/>
      <c r="L26" s="166"/>
      <c r="M26" s="167"/>
      <c r="N26" s="247"/>
      <c r="O26" s="168"/>
      <c r="P26" s="168"/>
      <c r="Q26" s="168"/>
    </row>
    <row r="27" spans="2:17" ht="18">
      <c r="B27" s="310"/>
      <c r="C27" s="310"/>
      <c r="D27" s="247"/>
      <c r="E27" s="225"/>
      <c r="F27" s="402"/>
      <c r="G27" s="409"/>
      <c r="H27" s="168"/>
      <c r="I27" s="168"/>
      <c r="J27" s="168"/>
      <c r="L27" s="163"/>
      <c r="M27" s="234"/>
      <c r="N27" s="227"/>
      <c r="O27" s="168"/>
      <c r="P27" s="168"/>
      <c r="Q27" s="168"/>
    </row>
    <row r="28" spans="2:17">
      <c r="B28" s="310"/>
      <c r="C28" s="310"/>
      <c r="D28" s="167"/>
      <c r="E28" s="167"/>
      <c r="F28" s="402"/>
      <c r="G28" s="409"/>
      <c r="H28" s="168"/>
      <c r="I28" s="168"/>
      <c r="J28" s="168"/>
      <c r="L28" s="410"/>
      <c r="M28" s="229"/>
      <c r="N28" s="227"/>
      <c r="O28" s="168"/>
      <c r="P28" s="168"/>
      <c r="Q28" s="168"/>
    </row>
    <row r="29" spans="2:17" ht="18">
      <c r="B29" s="310"/>
      <c r="C29" s="310"/>
      <c r="D29" s="167"/>
      <c r="E29" s="411"/>
      <c r="F29" s="400" t="s">
        <v>533</v>
      </c>
      <c r="G29" s="411"/>
      <c r="H29" s="168"/>
      <c r="I29" s="168"/>
      <c r="J29" s="168"/>
      <c r="K29" s="163"/>
      <c r="L29" s="247"/>
      <c r="M29" s="226"/>
      <c r="N29" s="227"/>
      <c r="O29" s="168"/>
      <c r="P29" s="168"/>
      <c r="Q29" s="168"/>
    </row>
    <row r="30" spans="2:17" ht="18">
      <c r="B30" s="310"/>
      <c r="C30" s="310"/>
      <c r="D30" s="167"/>
      <c r="E30" s="411"/>
      <c r="F30" s="207"/>
      <c r="G30" s="411"/>
      <c r="H30" s="168"/>
      <c r="I30" s="168"/>
      <c r="J30" s="168"/>
      <c r="K30" s="407"/>
      <c r="L30" s="166"/>
      <c r="M30" s="229"/>
      <c r="N30" s="227"/>
      <c r="O30" s="168"/>
      <c r="P30" s="168"/>
      <c r="Q30" s="168"/>
    </row>
    <row r="31" spans="2:17" ht="18">
      <c r="B31" s="310"/>
      <c r="C31" s="310"/>
      <c r="D31" s="167"/>
      <c r="E31" s="411"/>
      <c r="F31" s="405"/>
      <c r="G31" s="411"/>
      <c r="H31" s="168"/>
      <c r="I31" s="168"/>
      <c r="J31" s="168"/>
      <c r="L31" s="166"/>
      <c r="M31" s="231"/>
      <c r="N31" s="231"/>
      <c r="O31" s="231"/>
      <c r="P31" s="168"/>
      <c r="Q31" s="168"/>
    </row>
    <row r="32" spans="2:17" ht="18">
      <c r="B32" s="310"/>
      <c r="C32" s="310"/>
      <c r="D32" s="167"/>
      <c r="E32" s="167"/>
      <c r="F32" s="412"/>
      <c r="J32" s="168"/>
      <c r="L32" s="166"/>
      <c r="M32" s="231"/>
      <c r="N32" s="231"/>
      <c r="O32" s="231"/>
      <c r="P32" s="168"/>
      <c r="Q32" s="168"/>
    </row>
    <row r="33" spans="2:17" ht="18">
      <c r="B33" s="310"/>
      <c r="C33" s="310"/>
      <c r="D33" s="247"/>
      <c r="E33" s="168"/>
      <c r="F33" s="402"/>
      <c r="J33" s="168"/>
      <c r="L33" s="166"/>
      <c r="M33" s="229"/>
      <c r="N33" s="410"/>
    </row>
    <row r="34" spans="2:17" ht="18">
      <c r="B34" s="310"/>
      <c r="C34" s="76" t="str">
        <f>C70</f>
        <v>The Passionate Miami</v>
      </c>
      <c r="D34" s="413"/>
      <c r="E34" s="167"/>
      <c r="F34" s="402"/>
      <c r="H34" s="264"/>
      <c r="K34" s="163"/>
      <c r="L34" s="247"/>
      <c r="M34" s="234"/>
      <c r="N34" s="227"/>
    </row>
    <row r="35" spans="2:17" ht="18">
      <c r="B35" s="310"/>
      <c r="C35" s="310"/>
      <c r="D35" s="400" t="s">
        <v>534</v>
      </c>
      <c r="E35" s="167"/>
      <c r="F35" s="402"/>
      <c r="G35" s="414"/>
      <c r="H35" s="415"/>
      <c r="I35" s="168"/>
      <c r="K35" s="163"/>
      <c r="L35" s="129"/>
      <c r="M35" s="167"/>
      <c r="N35" s="227"/>
      <c r="P35" s="129"/>
    </row>
    <row r="36" spans="2:17" ht="21">
      <c r="B36" s="310"/>
      <c r="C36" s="310"/>
      <c r="D36" s="416" t="s">
        <v>535</v>
      </c>
      <c r="E36" s="417"/>
      <c r="F36" s="264" t="str">
        <f>C38</f>
        <v>MKC</v>
      </c>
      <c r="G36" s="409"/>
      <c r="H36" s="418"/>
      <c r="I36" s="168"/>
      <c r="M36" s="419" t="s">
        <v>536</v>
      </c>
      <c r="N36" s="130"/>
      <c r="O36" s="227">
        <v>120</v>
      </c>
      <c r="P36" s="420" t="s">
        <v>317</v>
      </c>
      <c r="Q36" s="168"/>
    </row>
    <row r="37" spans="2:17" ht="21">
      <c r="B37" s="310"/>
      <c r="C37" s="388" t="s">
        <v>83</v>
      </c>
      <c r="D37" s="421"/>
      <c r="E37" s="167"/>
      <c r="F37" s="247"/>
      <c r="G37" s="168"/>
      <c r="H37" s="418"/>
      <c r="I37" s="168"/>
      <c r="J37" s="168"/>
      <c r="M37" s="419" t="s">
        <v>537</v>
      </c>
      <c r="N37" s="130"/>
      <c r="O37" s="227">
        <v>108</v>
      </c>
      <c r="P37" s="420" t="s">
        <v>317</v>
      </c>
      <c r="Q37" s="168"/>
    </row>
    <row r="38" spans="2:17" ht="21">
      <c r="B38" s="310"/>
      <c r="C38" s="76" t="str">
        <f>女乙賽程!S20</f>
        <v>MKC</v>
      </c>
      <c r="D38" s="422"/>
      <c r="E38" s="167"/>
      <c r="F38" s="227"/>
      <c r="G38" s="168"/>
      <c r="H38" s="418"/>
      <c r="I38" s="168"/>
      <c r="J38" s="168"/>
      <c r="M38" s="419" t="s">
        <v>538</v>
      </c>
      <c r="N38" s="130"/>
      <c r="O38" s="227">
        <v>96</v>
      </c>
      <c r="P38" s="420" t="s">
        <v>317</v>
      </c>
      <c r="Q38" s="168"/>
    </row>
    <row r="39" spans="2:17" ht="21">
      <c r="B39" s="310"/>
      <c r="C39" s="423"/>
      <c r="D39" s="168"/>
      <c r="E39" s="167"/>
      <c r="F39" s="227"/>
      <c r="G39" s="168"/>
      <c r="H39" s="418"/>
      <c r="I39" s="168"/>
      <c r="J39" s="168"/>
      <c r="M39" s="419" t="s">
        <v>539</v>
      </c>
      <c r="N39" s="130"/>
      <c r="O39" s="227">
        <v>84</v>
      </c>
      <c r="P39" s="420" t="s">
        <v>317</v>
      </c>
      <c r="Q39" s="168"/>
    </row>
    <row r="40" spans="2:17" ht="21">
      <c r="B40" s="310"/>
      <c r="C40" s="343"/>
      <c r="D40" s="130"/>
      <c r="E40" s="167"/>
      <c r="F40" s="227"/>
      <c r="G40" s="168"/>
      <c r="H40" s="418"/>
      <c r="I40" s="168"/>
      <c r="J40" s="168"/>
      <c r="M40" s="419" t="s">
        <v>540</v>
      </c>
      <c r="N40" s="130"/>
      <c r="O40" s="227">
        <v>72</v>
      </c>
      <c r="P40" s="420" t="s">
        <v>317</v>
      </c>
      <c r="Q40" s="168"/>
    </row>
    <row r="41" spans="2:17" ht="18">
      <c r="B41" s="310"/>
      <c r="C41" s="310"/>
      <c r="D41" s="411"/>
      <c r="E41" s="168"/>
      <c r="F41" s="168"/>
      <c r="H41" s="424"/>
      <c r="I41" s="425" t="s">
        <v>541</v>
      </c>
      <c r="J41" s="10">
        <f>H52</f>
        <v>0</v>
      </c>
      <c r="M41" s="130"/>
      <c r="N41" s="426"/>
      <c r="O41" s="130">
        <v>72</v>
      </c>
      <c r="P41" s="420" t="s">
        <v>317</v>
      </c>
      <c r="Q41" s="168"/>
    </row>
    <row r="42" spans="2:17" ht="18">
      <c r="B42" s="310"/>
      <c r="C42" s="310"/>
      <c r="D42" s="167"/>
      <c r="E42" s="225"/>
      <c r="F42" s="168"/>
      <c r="H42" s="207"/>
      <c r="I42" s="427" t="s">
        <v>331</v>
      </c>
      <c r="J42" s="10"/>
      <c r="M42" s="130"/>
      <c r="N42" s="130"/>
      <c r="O42" s="130">
        <v>72</v>
      </c>
      <c r="P42" s="420" t="s">
        <v>317</v>
      </c>
      <c r="Q42" s="231"/>
    </row>
    <row r="43" spans="2:17" ht="18">
      <c r="B43" s="310"/>
      <c r="C43" s="310"/>
      <c r="D43" s="167"/>
      <c r="E43" s="225"/>
      <c r="F43" s="227"/>
      <c r="G43" s="428"/>
      <c r="H43" s="207"/>
      <c r="I43" s="428"/>
      <c r="J43" s="411"/>
      <c r="M43" s="130"/>
      <c r="N43" s="130"/>
      <c r="O43" s="130">
        <v>72</v>
      </c>
      <c r="P43" s="420" t="s">
        <v>317</v>
      </c>
      <c r="Q43" s="204"/>
    </row>
    <row r="44" spans="2:17" ht="21">
      <c r="B44" s="310"/>
      <c r="C44" s="310"/>
      <c r="D44" s="129"/>
      <c r="F44" s="129"/>
      <c r="H44" s="418"/>
      <c r="J44" s="167"/>
      <c r="M44" s="419" t="s">
        <v>542</v>
      </c>
      <c r="N44" s="130"/>
      <c r="O44" s="227">
        <v>60</v>
      </c>
      <c r="P44" s="420" t="s">
        <v>317</v>
      </c>
    </row>
    <row r="45" spans="2:17" ht="18">
      <c r="B45" s="310"/>
      <c r="C45" s="388" t="s">
        <v>89</v>
      </c>
      <c r="D45" s="429"/>
      <c r="F45" s="129"/>
      <c r="G45" s="168"/>
      <c r="H45" s="418"/>
      <c r="I45" s="168"/>
      <c r="J45" s="428"/>
      <c r="M45" s="130"/>
      <c r="N45" s="130"/>
      <c r="O45" s="130">
        <v>60</v>
      </c>
      <c r="P45" s="420" t="s">
        <v>317</v>
      </c>
      <c r="Q45" s="168"/>
    </row>
    <row r="46" spans="2:17" ht="18">
      <c r="B46" s="310"/>
      <c r="C46" s="76" t="str">
        <f>女乙賽程!Z20</f>
        <v>薯仔一隊</v>
      </c>
      <c r="D46" s="399"/>
      <c r="E46" s="167"/>
      <c r="F46" s="430"/>
      <c r="G46" s="168"/>
      <c r="H46" s="418"/>
      <c r="I46" s="168"/>
      <c r="M46" s="130"/>
      <c r="N46" s="130"/>
      <c r="O46" s="130">
        <v>60</v>
      </c>
      <c r="P46" s="420" t="s">
        <v>317</v>
      </c>
      <c r="Q46" s="168"/>
    </row>
    <row r="47" spans="2:17" ht="21">
      <c r="B47" s="310"/>
      <c r="C47" s="310"/>
      <c r="D47" s="400" t="s">
        <v>543</v>
      </c>
      <c r="E47" s="431"/>
      <c r="F47" s="170"/>
      <c r="G47" s="168"/>
      <c r="H47" s="418"/>
      <c r="I47" s="168"/>
      <c r="J47" s="168"/>
      <c r="M47" s="419" t="s">
        <v>544</v>
      </c>
      <c r="N47" s="130"/>
      <c r="O47" s="130">
        <v>48</v>
      </c>
      <c r="P47" s="420" t="s">
        <v>317</v>
      </c>
      <c r="Q47" s="168"/>
    </row>
    <row r="48" spans="2:17">
      <c r="B48" s="310"/>
      <c r="C48" s="310"/>
      <c r="D48" s="432" t="s">
        <v>545</v>
      </c>
      <c r="E48" s="168"/>
      <c r="F48" s="217" t="str">
        <f>C50</f>
        <v>BESS</v>
      </c>
      <c r="G48" s="168"/>
      <c r="H48" s="418"/>
      <c r="I48" s="168"/>
      <c r="J48" s="168"/>
      <c r="N48" s="130"/>
      <c r="O48" s="130">
        <v>48</v>
      </c>
      <c r="P48" s="420" t="s">
        <v>317</v>
      </c>
      <c r="Q48" s="168"/>
    </row>
    <row r="49" spans="2:17" ht="21">
      <c r="B49" s="310"/>
      <c r="C49" s="310"/>
      <c r="D49" s="405"/>
      <c r="E49" s="168"/>
      <c r="F49" s="402"/>
      <c r="G49" s="168"/>
      <c r="H49" s="418"/>
      <c r="I49" s="168"/>
      <c r="J49" s="168"/>
      <c r="M49" s="419" t="s">
        <v>546</v>
      </c>
      <c r="N49" s="130"/>
      <c r="O49" s="130">
        <v>36</v>
      </c>
      <c r="P49" s="420" t="s">
        <v>317</v>
      </c>
      <c r="Q49" s="168"/>
    </row>
    <row r="50" spans="2:17">
      <c r="B50" s="310"/>
      <c r="C50" s="76" t="str">
        <f>C69</f>
        <v>BESS</v>
      </c>
      <c r="D50" s="408"/>
      <c r="E50" s="167"/>
      <c r="F50" s="402"/>
      <c r="G50" s="168"/>
      <c r="H50" s="418"/>
      <c r="I50" s="168"/>
      <c r="J50" s="168"/>
      <c r="M50" s="420" t="s">
        <v>342</v>
      </c>
      <c r="N50" s="130"/>
      <c r="O50" s="130">
        <v>0</v>
      </c>
      <c r="P50" s="420" t="s">
        <v>317</v>
      </c>
      <c r="Q50" s="168"/>
    </row>
    <row r="51" spans="2:17" ht="18">
      <c r="B51" s="310"/>
      <c r="C51" s="433"/>
      <c r="D51" s="247"/>
      <c r="E51" s="225"/>
      <c r="F51" s="402"/>
      <c r="G51" s="417"/>
      <c r="H51" s="434"/>
      <c r="I51" s="168"/>
      <c r="J51" s="168"/>
      <c r="N51" s="130"/>
      <c r="O51" s="130">
        <v>0</v>
      </c>
      <c r="P51" s="420" t="s">
        <v>317</v>
      </c>
      <c r="Q51" s="168"/>
    </row>
    <row r="52" spans="2:17">
      <c r="B52" s="310"/>
      <c r="C52" s="310"/>
      <c r="D52" s="167"/>
      <c r="E52" s="167"/>
      <c r="F52" s="402"/>
      <c r="H52" s="264"/>
      <c r="I52" s="168"/>
      <c r="J52" s="168"/>
      <c r="M52" s="130"/>
      <c r="N52" s="130"/>
      <c r="O52" s="130">
        <v>0</v>
      </c>
      <c r="P52" s="420" t="s">
        <v>317</v>
      </c>
      <c r="Q52" s="168"/>
    </row>
    <row r="53" spans="2:17" ht="18">
      <c r="B53" s="310"/>
      <c r="C53" s="310"/>
      <c r="D53" s="167"/>
      <c r="E53" s="411"/>
      <c r="F53" s="400" t="s">
        <v>547</v>
      </c>
      <c r="G53" s="167"/>
      <c r="H53" s="168"/>
      <c r="I53" s="168"/>
      <c r="J53" s="168"/>
      <c r="M53" s="130"/>
      <c r="N53" s="130"/>
      <c r="O53" s="130">
        <v>0</v>
      </c>
      <c r="P53" s="420" t="s">
        <v>317</v>
      </c>
      <c r="Q53" s="168"/>
    </row>
    <row r="54" spans="2:17">
      <c r="B54" s="310"/>
      <c r="C54" s="310"/>
      <c r="D54" s="167"/>
      <c r="E54" s="167"/>
      <c r="F54" s="421"/>
      <c r="I54" s="168"/>
      <c r="M54" s="130"/>
      <c r="N54" s="130"/>
      <c r="O54" s="130">
        <v>0</v>
      </c>
      <c r="P54" s="420" t="s">
        <v>317</v>
      </c>
      <c r="Q54" s="168"/>
    </row>
    <row r="55" spans="2:17" ht="18">
      <c r="B55" s="310"/>
      <c r="C55" s="310"/>
      <c r="D55" s="167"/>
      <c r="E55" s="167"/>
      <c r="F55" s="402"/>
      <c r="K55" s="435"/>
      <c r="L55" s="163"/>
      <c r="M55" s="234"/>
      <c r="N55" s="227"/>
      <c r="Q55" s="168"/>
    </row>
    <row r="56" spans="2:17" ht="18">
      <c r="B56" s="310"/>
      <c r="C56" s="310"/>
      <c r="D56" s="411"/>
      <c r="E56" s="168"/>
      <c r="F56" s="402"/>
      <c r="K56" s="163"/>
      <c r="L56" s="436"/>
      <c r="M56" s="167"/>
      <c r="N56" s="227"/>
      <c r="Q56" s="168"/>
    </row>
    <row r="57" spans="2:17" ht="18">
      <c r="B57" s="310"/>
      <c r="C57" s="310"/>
      <c r="D57" s="247"/>
      <c r="E57" s="437"/>
      <c r="F57" s="402"/>
      <c r="K57" s="163"/>
      <c r="L57" s="438"/>
      <c r="M57" s="167"/>
      <c r="N57" s="227"/>
    </row>
    <row r="58" spans="2:17" ht="18">
      <c r="B58" s="310"/>
      <c r="C58" s="76" t="str">
        <f>C71</f>
        <v>Reunion</v>
      </c>
      <c r="D58" s="399"/>
      <c r="E58" s="167"/>
      <c r="F58" s="402"/>
      <c r="J58" s="168"/>
      <c r="L58" s="163"/>
      <c r="M58" s="167"/>
      <c r="N58" s="129"/>
      <c r="O58" s="168"/>
    </row>
    <row r="59" spans="2:17" ht="18">
      <c r="B59" s="310"/>
      <c r="C59" s="310"/>
      <c r="D59" s="400" t="s">
        <v>548</v>
      </c>
      <c r="E59" s="417"/>
      <c r="F59" s="264" t="str">
        <f>C58</f>
        <v>Reunion</v>
      </c>
      <c r="G59" s="168"/>
      <c r="L59" s="166"/>
      <c r="M59" s="229"/>
      <c r="N59" s="247"/>
      <c r="O59" s="246"/>
      <c r="P59" s="243"/>
      <c r="Q59" s="244"/>
    </row>
    <row r="60" spans="2:17" ht="18">
      <c r="B60" s="310"/>
      <c r="C60" s="310"/>
      <c r="D60" s="421" t="s">
        <v>549</v>
      </c>
      <c r="E60" s="167"/>
      <c r="F60" s="247"/>
      <c r="G60" s="439"/>
      <c r="H60" s="439"/>
      <c r="I60" s="152"/>
      <c r="J60" s="440"/>
      <c r="L60" s="129"/>
      <c r="M60" s="167"/>
      <c r="N60" s="168"/>
      <c r="O60" s="246"/>
      <c r="P60" s="243"/>
      <c r="Q60" s="244"/>
    </row>
    <row r="61" spans="2:17">
      <c r="B61" s="310"/>
      <c r="C61" s="441" t="s">
        <v>77</v>
      </c>
      <c r="D61" s="412"/>
      <c r="E61" s="167"/>
      <c r="F61" s="168"/>
      <c r="G61" s="439"/>
      <c r="J61" s="442"/>
      <c r="K61" s="443" t="s">
        <v>550</v>
      </c>
      <c r="L61" s="9">
        <f>I64</f>
        <v>0</v>
      </c>
      <c r="M61" s="167"/>
      <c r="N61" s="168"/>
      <c r="O61" s="246"/>
      <c r="P61" s="243"/>
      <c r="Q61" s="244"/>
    </row>
    <row r="62" spans="2:17">
      <c r="B62" s="310"/>
      <c r="C62" s="76" t="str">
        <f>女乙賽程!Z8</f>
        <v>J&amp;M</v>
      </c>
      <c r="D62" s="408"/>
      <c r="E62" s="167"/>
      <c r="F62" s="168"/>
      <c r="G62" s="439"/>
      <c r="I62" s="444"/>
      <c r="J62" s="442"/>
      <c r="K62" s="445" t="s">
        <v>355</v>
      </c>
      <c r="L62" s="9"/>
      <c r="M62" s="167"/>
      <c r="N62" s="168"/>
      <c r="O62" s="246"/>
      <c r="P62" s="243"/>
      <c r="Q62" s="244"/>
    </row>
    <row r="63" spans="2:17" ht="18">
      <c r="B63" s="446"/>
      <c r="C63" s="447"/>
      <c r="D63" s="439"/>
      <c r="E63" s="439"/>
      <c r="F63" s="168"/>
      <c r="I63" s="170"/>
      <c r="J63" s="412"/>
      <c r="L63" s="129"/>
      <c r="M63" s="234"/>
      <c r="N63" s="168"/>
      <c r="O63" s="246"/>
      <c r="P63" s="243"/>
      <c r="Q63" s="244"/>
    </row>
    <row r="64" spans="2:17" ht="18">
      <c r="B64" s="236"/>
      <c r="C64" s="168"/>
      <c r="D64" s="448"/>
      <c r="G64" s="167"/>
      <c r="H64" s="442"/>
      <c r="I64" s="449"/>
      <c r="J64" s="450"/>
      <c r="L64" s="129"/>
      <c r="N64" s="129"/>
      <c r="O64" s="246"/>
      <c r="P64" s="243"/>
      <c r="Q64" s="244"/>
    </row>
    <row r="65" spans="2:15" ht="18">
      <c r="B65" s="236"/>
      <c r="C65" s="129"/>
      <c r="D65" s="423"/>
      <c r="I65" s="428"/>
    </row>
    <row r="66" spans="2:15" ht="18">
      <c r="B66" s="446"/>
      <c r="I66" s="168"/>
    </row>
    <row r="67" spans="2:15" ht="18">
      <c r="B67" s="236"/>
      <c r="I67" s="168"/>
    </row>
    <row r="68" spans="2:15" ht="18">
      <c r="B68" s="451"/>
      <c r="I68" s="130"/>
      <c r="O68" s="130"/>
    </row>
    <row r="69" spans="2:15" ht="21">
      <c r="C69" s="200" t="str">
        <f>女乙賽程!S11</f>
        <v>BESS</v>
      </c>
      <c r="D69" s="224" t="s">
        <v>161</v>
      </c>
      <c r="F69" s="452" t="s">
        <v>536</v>
      </c>
      <c r="G69" s="453" t="s">
        <v>358</v>
      </c>
      <c r="I69" s="130"/>
    </row>
    <row r="70" spans="2:15" ht="21">
      <c r="B70" s="238"/>
      <c r="C70" s="200" t="str">
        <f>女乙賽程!Z11</f>
        <v>The Passionate Miami</v>
      </c>
      <c r="D70" s="224" t="s">
        <v>155</v>
      </c>
      <c r="F70" s="452" t="s">
        <v>537</v>
      </c>
      <c r="G70" s="453" t="s">
        <v>359</v>
      </c>
      <c r="H70" s="446"/>
      <c r="I70" s="454"/>
    </row>
    <row r="71" spans="2:15" ht="21">
      <c r="B71" s="238"/>
      <c r="C71" s="200" t="str">
        <f>女乙賽程!S23</f>
        <v>Reunion</v>
      </c>
      <c r="D71" s="224" t="s">
        <v>149</v>
      </c>
      <c r="F71" s="452" t="s">
        <v>538</v>
      </c>
      <c r="G71" s="453" t="s">
        <v>360</v>
      </c>
      <c r="H71" s="446"/>
      <c r="I71" s="454"/>
    </row>
    <row r="72" spans="2:15" ht="21">
      <c r="B72" s="238"/>
      <c r="C72" s="200" t="str">
        <f>女乙賽程!Z23</f>
        <v>limit</v>
      </c>
      <c r="D72" s="224" t="s">
        <v>143</v>
      </c>
      <c r="F72" s="452" t="s">
        <v>539</v>
      </c>
      <c r="G72" s="453" t="s">
        <v>361</v>
      </c>
      <c r="I72" s="454"/>
    </row>
    <row r="73" spans="2:15" ht="21">
      <c r="B73" s="238"/>
      <c r="C73" s="230"/>
      <c r="F73" s="452" t="s">
        <v>540</v>
      </c>
      <c r="G73" s="453" t="s">
        <v>362</v>
      </c>
      <c r="H73" s="244"/>
      <c r="I73" s="454"/>
    </row>
    <row r="74" spans="2:15" ht="21">
      <c r="B74" s="238"/>
      <c r="C74" s="230"/>
      <c r="F74" s="452" t="s">
        <v>542</v>
      </c>
      <c r="G74" s="453" t="s">
        <v>551</v>
      </c>
      <c r="H74" s="244"/>
      <c r="I74" s="130"/>
    </row>
    <row r="75" spans="2:15" ht="18">
      <c r="B75" s="238"/>
      <c r="C75" s="230"/>
      <c r="G75" s="243"/>
      <c r="H75" s="244"/>
      <c r="I75" s="130"/>
    </row>
    <row r="76" spans="2:15" ht="18">
      <c r="B76" s="238"/>
      <c r="C76" s="230"/>
      <c r="I76" s="130"/>
    </row>
    <row r="77" spans="2:15" ht="18">
      <c r="B77" s="238"/>
      <c r="C77" s="230"/>
      <c r="I77" s="130"/>
    </row>
    <row r="78" spans="2:15">
      <c r="I78" s="130"/>
    </row>
    <row r="79" spans="2:15">
      <c r="I79" s="130"/>
    </row>
    <row r="80" spans="2:15">
      <c r="I80" s="130"/>
    </row>
    <row r="81" spans="9:17">
      <c r="I81" s="130"/>
    </row>
    <row r="82" spans="9:17">
      <c r="I82" s="130"/>
    </row>
    <row r="83" spans="9:17">
      <c r="I83" s="130"/>
    </row>
    <row r="84" spans="9:17">
      <c r="I84" s="130"/>
    </row>
    <row r="85" spans="9:17">
      <c r="I85" s="130"/>
    </row>
    <row r="86" spans="9:17">
      <c r="I86" s="130"/>
    </row>
    <row r="87" spans="9:17">
      <c r="I87" s="130"/>
      <c r="J87" s="130"/>
      <c r="K87" s="130"/>
      <c r="L87" s="130"/>
      <c r="M87" s="130"/>
      <c r="N87" s="130"/>
    </row>
    <row r="88" spans="9:17">
      <c r="I88" s="130"/>
      <c r="J88" s="130"/>
      <c r="K88" s="130"/>
      <c r="L88" s="130"/>
      <c r="M88" s="130"/>
      <c r="N88" s="130"/>
      <c r="O88" s="130"/>
    </row>
    <row r="89" spans="9:17">
      <c r="I89" s="130"/>
      <c r="J89" s="130"/>
      <c r="K89" s="130"/>
      <c r="L89" s="130"/>
      <c r="M89" s="130"/>
      <c r="N89" s="130"/>
      <c r="O89" s="130"/>
    </row>
    <row r="90" spans="9:17">
      <c r="I90" s="130"/>
      <c r="J90" s="130"/>
      <c r="K90" s="130"/>
      <c r="L90" s="130"/>
      <c r="M90" s="130"/>
      <c r="N90" s="130"/>
      <c r="O90" s="130"/>
    </row>
    <row r="91" spans="9:17">
      <c r="I91" s="130"/>
      <c r="J91" s="130"/>
      <c r="K91" s="130"/>
      <c r="L91" s="130"/>
      <c r="M91" s="130"/>
      <c r="N91" s="130"/>
      <c r="O91" s="130"/>
    </row>
    <row r="92" spans="9:17">
      <c r="I92" s="130"/>
      <c r="J92" s="130"/>
      <c r="K92" s="130"/>
      <c r="L92" s="130"/>
      <c r="M92" s="130"/>
      <c r="N92" s="130"/>
      <c r="O92" s="130"/>
      <c r="P92" s="130"/>
      <c r="Q92" s="130"/>
    </row>
    <row r="93" spans="9:17">
      <c r="I93" s="130"/>
      <c r="J93" s="130"/>
      <c r="K93" s="130"/>
      <c r="L93" s="130"/>
      <c r="M93" s="130"/>
      <c r="N93" s="130"/>
      <c r="O93" s="130"/>
      <c r="P93" s="130"/>
      <c r="Q93" s="130"/>
    </row>
    <row r="94" spans="9:17">
      <c r="I94" s="130"/>
      <c r="J94" s="130"/>
      <c r="K94" s="130"/>
      <c r="L94" s="130"/>
      <c r="M94" s="130"/>
      <c r="N94" s="130"/>
      <c r="O94" s="130"/>
      <c r="P94" s="130"/>
      <c r="Q94" s="130"/>
    </row>
    <row r="95" spans="9:17">
      <c r="I95" s="130"/>
      <c r="J95" s="130"/>
      <c r="N95" s="130"/>
      <c r="O95" s="130"/>
      <c r="P95" s="130"/>
      <c r="Q95" s="130"/>
    </row>
    <row r="121" spans="2:12">
      <c r="K121" s="243"/>
      <c r="L121" s="244"/>
    </row>
    <row r="122" spans="2:12">
      <c r="K122" s="243"/>
      <c r="L122" s="244"/>
    </row>
    <row r="123" spans="2:12" ht="18">
      <c r="B123" s="451"/>
      <c r="G123" s="246"/>
      <c r="H123" s="234"/>
      <c r="K123" s="243"/>
      <c r="L123" s="244"/>
    </row>
    <row r="124" spans="2:12">
      <c r="K124" s="243"/>
      <c r="L124" s="244"/>
    </row>
    <row r="125" spans="2:12">
      <c r="K125" s="243"/>
      <c r="L125" s="244"/>
    </row>
    <row r="126" spans="2:12">
      <c r="K126" s="243"/>
      <c r="L126" s="244"/>
    </row>
    <row r="127" spans="2:12">
      <c r="K127" s="243"/>
      <c r="L127" s="244"/>
    </row>
  </sheetData>
  <mergeCells count="2">
    <mergeCell ref="J41:J42"/>
    <mergeCell ref="L61:L62"/>
  </mergeCells>
  <printOptions horizontalCentered="1" vertic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41"/>
  <sheetViews>
    <sheetView topLeftCell="B1" zoomScale="75" zoomScaleNormal="75" workbookViewId="0">
      <selection activeCell="Z11" sqref="Z11"/>
    </sheetView>
  </sheetViews>
  <sheetFormatPr defaultRowHeight="17.25"/>
  <cols>
    <col min="1" max="1" width="9.109375" style="247" hidden="1" customWidth="1"/>
    <col min="2" max="2" width="8.109375" style="247" customWidth="1"/>
    <col min="3" max="3" width="6.6640625" style="247" customWidth="1"/>
    <col min="4" max="4" width="8.6640625" style="247" customWidth="1"/>
    <col min="5" max="5" width="13.33203125" style="247" customWidth="1"/>
    <col min="6" max="6" width="4.33203125" style="247" customWidth="1"/>
    <col min="7" max="7" width="13.5546875" style="247" customWidth="1"/>
    <col min="8" max="8" width="17" style="247" customWidth="1"/>
    <col min="9" max="9" width="2.6640625" style="247" customWidth="1"/>
    <col min="10" max="10" width="17.77734375" style="247" customWidth="1"/>
    <col min="11" max="14" width="7.6640625" style="245" customWidth="1"/>
    <col min="15" max="15" width="13.5546875" style="248" customWidth="1"/>
    <col min="16" max="16" width="23.6640625" style="245" customWidth="1"/>
    <col min="17" max="18" width="7.6640625" style="247" customWidth="1"/>
    <col min="19" max="19" width="13.44140625" style="247" customWidth="1"/>
    <col min="20" max="22" width="7.6640625" style="247" customWidth="1"/>
    <col min="23" max="23" width="13.109375" style="247" customWidth="1"/>
    <col min="24" max="25" width="7.6640625" style="247" customWidth="1"/>
    <col min="26" max="26" width="10.44140625" style="247" customWidth="1"/>
    <col min="27" max="1025" width="7.6640625" style="247" customWidth="1"/>
  </cols>
  <sheetData>
    <row r="1" spans="1:30" ht="25.5">
      <c r="B1" s="455"/>
      <c r="C1" s="249" t="s">
        <v>552</v>
      </c>
      <c r="D1" s="456"/>
      <c r="E1" s="457"/>
      <c r="F1" s="458"/>
      <c r="G1" s="456"/>
      <c r="H1" s="459"/>
      <c r="I1" s="458"/>
      <c r="J1" s="458"/>
      <c r="K1" s="456"/>
      <c r="L1" s="456"/>
      <c r="M1" s="456"/>
      <c r="N1" s="456"/>
    </row>
    <row r="2" spans="1:30" ht="25.5">
      <c r="B2" s="253"/>
      <c r="C2" s="254" t="s">
        <v>553</v>
      </c>
      <c r="D2" s="456"/>
      <c r="E2" s="457"/>
      <c r="F2" s="458"/>
      <c r="G2" s="456"/>
      <c r="H2" s="459"/>
      <c r="I2" s="458"/>
      <c r="J2" s="458"/>
      <c r="K2" s="456"/>
      <c r="L2" s="456"/>
      <c r="M2" s="456"/>
      <c r="N2" s="456"/>
    </row>
    <row r="3" spans="1:30" ht="19.5">
      <c r="C3" s="456"/>
      <c r="D3" s="255"/>
      <c r="E3" s="456"/>
      <c r="F3" s="456"/>
      <c r="G3" s="256"/>
      <c r="H3" s="8" t="s">
        <v>377</v>
      </c>
      <c r="I3" s="8"/>
      <c r="J3" s="8"/>
      <c r="K3" s="460" t="s">
        <v>366</v>
      </c>
      <c r="L3" s="460" t="s">
        <v>367</v>
      </c>
      <c r="M3" s="460" t="s">
        <v>367</v>
      </c>
      <c r="N3" s="460" t="s">
        <v>366</v>
      </c>
    </row>
    <row r="4" spans="1:30">
      <c r="A4" s="260" t="s">
        <v>368</v>
      </c>
      <c r="B4" s="461"/>
      <c r="C4" s="261" t="s">
        <v>369</v>
      </c>
      <c r="D4" s="462" t="s">
        <v>370</v>
      </c>
      <c r="E4" s="261"/>
      <c r="F4" s="261" t="s">
        <v>371</v>
      </c>
      <c r="G4" s="261"/>
      <c r="H4" s="463" t="s">
        <v>372</v>
      </c>
      <c r="I4" s="464"/>
      <c r="J4" s="463" t="s">
        <v>373</v>
      </c>
      <c r="K4" s="261"/>
      <c r="L4" s="261"/>
      <c r="M4" s="261"/>
      <c r="N4" s="261"/>
    </row>
    <row r="5" spans="1:30" ht="16.5" customHeight="1">
      <c r="A5" s="265" t="s">
        <v>374</v>
      </c>
      <c r="B5" s="217"/>
      <c r="C5" s="266" t="s">
        <v>375</v>
      </c>
      <c r="D5" s="465" t="s">
        <v>376</v>
      </c>
      <c r="E5" s="266"/>
      <c r="F5" s="266" t="s">
        <v>377</v>
      </c>
      <c r="G5" s="266"/>
      <c r="H5" s="466" t="s">
        <v>51</v>
      </c>
      <c r="I5" s="467"/>
      <c r="J5" s="466" t="s">
        <v>51</v>
      </c>
      <c r="K5" s="261"/>
      <c r="L5" s="261"/>
      <c r="M5" s="261"/>
      <c r="N5" s="261"/>
    </row>
    <row r="6" spans="1:30" ht="18.75" hidden="1">
      <c r="A6" s="268" t="e">
        <f>IF(#REF!&lt;&gt;#REF!,#REF!,"")</f>
        <v>#REF!</v>
      </c>
      <c r="B6" s="468">
        <v>1</v>
      </c>
      <c r="C6" s="469" t="s">
        <v>266</v>
      </c>
      <c r="D6" s="470">
        <v>1</v>
      </c>
      <c r="E6" s="471" t="s">
        <v>71</v>
      </c>
      <c r="F6" s="472" t="s">
        <v>378</v>
      </c>
      <c r="G6" s="473" t="s">
        <v>209</v>
      </c>
      <c r="H6" s="474" t="str">
        <f>VLOOKUP(E6,WD!$C$6:$K$71,3,0)</f>
        <v>筱瑩</v>
      </c>
      <c r="I6" s="474" t="s">
        <v>378</v>
      </c>
      <c r="J6" s="474" t="e">
        <f>VLOOKUP(G6,WD!$C$6:$K$71,3,0)</f>
        <v>#N/A</v>
      </c>
      <c r="K6" s="264"/>
      <c r="L6" s="264"/>
      <c r="M6" s="264"/>
      <c r="N6" s="264"/>
      <c r="Q6" s="276" t="s">
        <v>381</v>
      </c>
      <c r="R6" s="276" t="s">
        <v>383</v>
      </c>
      <c r="S6" s="276" t="s">
        <v>61</v>
      </c>
      <c r="T6" s="475" t="s">
        <v>267</v>
      </c>
      <c r="V6" s="275" t="s">
        <v>380</v>
      </c>
      <c r="W6" s="276" t="s">
        <v>50</v>
      </c>
      <c r="X6" s="276" t="s">
        <v>381</v>
      </c>
      <c r="Y6" s="276" t="s">
        <v>383</v>
      </c>
      <c r="Z6" s="276" t="s">
        <v>61</v>
      </c>
    </row>
    <row r="7" spans="1:30" ht="18.75">
      <c r="A7" s="277" t="e">
        <f>IF(#REF!&lt;&gt;#REF!,#REF!,"")</f>
        <v>#REF!</v>
      </c>
      <c r="B7" s="476">
        <v>1</v>
      </c>
      <c r="C7" s="469" t="s">
        <v>266</v>
      </c>
      <c r="D7" s="470">
        <v>2</v>
      </c>
      <c r="E7" s="471" t="s">
        <v>161</v>
      </c>
      <c r="F7" s="472" t="s">
        <v>378</v>
      </c>
      <c r="G7" s="477" t="s">
        <v>167</v>
      </c>
      <c r="H7" s="264" t="str">
        <f>VLOOKUP(E7,WD!$C$6:$K$71,3,0)</f>
        <v>KB</v>
      </c>
      <c r="I7" s="273" t="s">
        <v>378</v>
      </c>
      <c r="J7" s="264" t="str">
        <f>VLOOKUP(G7,WD!$C$6:$K$71,3,0)</f>
        <v>BESS</v>
      </c>
      <c r="K7" s="274">
        <v>0</v>
      </c>
      <c r="L7" s="264">
        <f>10+17</f>
        <v>27</v>
      </c>
      <c r="M7" s="264">
        <f>21+21</f>
        <v>42</v>
      </c>
      <c r="N7" s="264">
        <v>2</v>
      </c>
      <c r="O7" s="248" t="s">
        <v>554</v>
      </c>
      <c r="Q7" s="276" t="s">
        <v>266</v>
      </c>
      <c r="R7" s="275" t="s">
        <v>380</v>
      </c>
      <c r="S7" s="276" t="s">
        <v>50</v>
      </c>
      <c r="T7" s="276" t="s">
        <v>381</v>
      </c>
      <c r="U7" s="276" t="s">
        <v>382</v>
      </c>
      <c r="V7" s="276" t="s">
        <v>383</v>
      </c>
      <c r="W7" s="276" t="s">
        <v>61</v>
      </c>
      <c r="X7" s="475" t="s">
        <v>267</v>
      </c>
      <c r="Y7" s="275" t="s">
        <v>380</v>
      </c>
      <c r="Z7" s="276" t="s">
        <v>50</v>
      </c>
      <c r="AA7" s="276" t="s">
        <v>381</v>
      </c>
      <c r="AB7" s="276" t="s">
        <v>382</v>
      </c>
      <c r="AC7" s="276" t="s">
        <v>383</v>
      </c>
      <c r="AD7" s="276" t="s">
        <v>61</v>
      </c>
    </row>
    <row r="8" spans="1:30" ht="18.75">
      <c r="A8" s="277" t="e">
        <f>IF(#REF!&lt;&gt;#REF!,#REF!,"")</f>
        <v>#REF!</v>
      </c>
      <c r="B8" s="468">
        <v>2</v>
      </c>
      <c r="C8" s="469" t="s">
        <v>266</v>
      </c>
      <c r="D8" s="470">
        <v>3</v>
      </c>
      <c r="E8" s="471" t="s">
        <v>71</v>
      </c>
      <c r="F8" s="472" t="s">
        <v>378</v>
      </c>
      <c r="G8" s="477" t="s">
        <v>167</v>
      </c>
      <c r="H8" s="264" t="str">
        <f>VLOOKUP(E8,WD!$C$6:$K$71,3,0)</f>
        <v>筱瑩</v>
      </c>
      <c r="I8" s="273" t="s">
        <v>378</v>
      </c>
      <c r="J8" s="264" t="str">
        <f>VLOOKUP(G8,WD!$C$6:$K$71,3,0)</f>
        <v>BESS</v>
      </c>
      <c r="K8" s="274">
        <v>2</v>
      </c>
      <c r="L8" s="264">
        <f>21+21</f>
        <v>42</v>
      </c>
      <c r="M8" s="264">
        <f>12+16</f>
        <v>28</v>
      </c>
      <c r="N8" s="264">
        <v>0</v>
      </c>
      <c r="O8" s="248" t="s">
        <v>555</v>
      </c>
      <c r="Q8" s="248"/>
      <c r="R8" s="263">
        <v>1</v>
      </c>
      <c r="S8" s="283" t="s">
        <v>427</v>
      </c>
      <c r="T8" s="283">
        <v>2</v>
      </c>
      <c r="U8" s="283">
        <v>0</v>
      </c>
      <c r="V8" s="283">
        <v>0</v>
      </c>
      <c r="W8" s="283">
        <f>T8*3+U8*1+V8*0</f>
        <v>6</v>
      </c>
      <c r="Y8" s="263">
        <v>1</v>
      </c>
      <c r="Z8" s="283" t="s">
        <v>456</v>
      </c>
      <c r="AA8" s="283">
        <v>1</v>
      </c>
      <c r="AB8" s="283">
        <v>1</v>
      </c>
      <c r="AC8" s="283">
        <v>0</v>
      </c>
      <c r="AD8" s="283">
        <f>AA8*3+AB8*1+AC8*0</f>
        <v>4</v>
      </c>
    </row>
    <row r="9" spans="1:30" ht="18.75" hidden="1">
      <c r="A9" s="277" t="e">
        <f>IF(#REF!&lt;&gt;#REF!,#REF!,"")</f>
        <v>#REF!</v>
      </c>
      <c r="B9" s="476">
        <v>4</v>
      </c>
      <c r="C9" s="469" t="s">
        <v>266</v>
      </c>
      <c r="D9" s="470">
        <v>4</v>
      </c>
      <c r="E9" s="471" t="s">
        <v>161</v>
      </c>
      <c r="F9" s="472" t="s">
        <v>378</v>
      </c>
      <c r="G9" s="477" t="s">
        <v>209</v>
      </c>
      <c r="H9" s="264" t="str">
        <f>VLOOKUP(E9,WD!$C$6:$K$71,3,0)</f>
        <v>KB</v>
      </c>
      <c r="I9" s="273" t="s">
        <v>378</v>
      </c>
      <c r="J9" s="264" t="e">
        <f>VLOOKUP(G9,WD!$C$6:$K$71,3,0)</f>
        <v>#N/A</v>
      </c>
      <c r="K9" s="274"/>
      <c r="L9" s="264"/>
      <c r="M9" s="264"/>
      <c r="N9" s="264"/>
      <c r="Q9" s="248"/>
      <c r="R9" s="263">
        <v>2</v>
      </c>
      <c r="S9" s="283"/>
      <c r="T9" s="283"/>
      <c r="U9" s="283"/>
      <c r="V9" s="283"/>
      <c r="W9" s="283">
        <f>T9*3+V9*0</f>
        <v>0</v>
      </c>
      <c r="Y9" s="263">
        <v>2</v>
      </c>
      <c r="Z9" s="283"/>
      <c r="AA9" s="283"/>
      <c r="AB9" s="283"/>
      <c r="AC9" s="283"/>
      <c r="AD9" s="283">
        <f>AA9*3+AC9*0</f>
        <v>0</v>
      </c>
    </row>
    <row r="10" spans="1:30" ht="18.75" hidden="1">
      <c r="A10" s="277" t="e">
        <f>IF(#REF!&lt;&gt;#REF!,#REF!,"")</f>
        <v>#REF!</v>
      </c>
      <c r="B10" s="468">
        <v>5</v>
      </c>
      <c r="C10" s="469" t="s">
        <v>266</v>
      </c>
      <c r="D10" s="470">
        <v>5</v>
      </c>
      <c r="E10" s="471" t="s">
        <v>167</v>
      </c>
      <c r="F10" s="472" t="s">
        <v>378</v>
      </c>
      <c r="G10" s="477" t="s">
        <v>209</v>
      </c>
      <c r="H10" s="264" t="str">
        <f>VLOOKUP(E10,WD!$C$6:$K$71,3,0)</f>
        <v>BESS</v>
      </c>
      <c r="I10" s="273" t="s">
        <v>378</v>
      </c>
      <c r="J10" s="264" t="e">
        <f>VLOOKUP(G10,WD!$C$6:$K$71,3,0)</f>
        <v>#N/A</v>
      </c>
      <c r="K10" s="274"/>
      <c r="L10" s="264"/>
      <c r="M10" s="264"/>
      <c r="N10" s="264"/>
      <c r="Q10" s="248"/>
      <c r="R10" s="263">
        <v>3</v>
      </c>
      <c r="S10" s="283"/>
      <c r="T10" s="283"/>
      <c r="U10" s="283"/>
      <c r="V10" s="283"/>
      <c r="W10" s="283">
        <f>T10*3+V10*0</f>
        <v>0</v>
      </c>
      <c r="Y10" s="263">
        <v>3</v>
      </c>
      <c r="Z10" s="283"/>
      <c r="AA10" s="283"/>
      <c r="AB10" s="283"/>
      <c r="AC10" s="283"/>
      <c r="AD10" s="283">
        <f>AA10*3+AC10*0</f>
        <v>0</v>
      </c>
    </row>
    <row r="11" spans="1:30" ht="18.75">
      <c r="A11" s="277"/>
      <c r="B11" s="476">
        <v>3</v>
      </c>
      <c r="C11" s="478" t="s">
        <v>266</v>
      </c>
      <c r="D11" s="479">
        <v>6</v>
      </c>
      <c r="E11" s="480" t="s">
        <v>71</v>
      </c>
      <c r="F11" s="481" t="s">
        <v>378</v>
      </c>
      <c r="G11" s="481" t="s">
        <v>161</v>
      </c>
      <c r="H11" s="264" t="str">
        <f>VLOOKUP(E11,WD!$C$6:$K$71,3,0)</f>
        <v>筱瑩</v>
      </c>
      <c r="I11" s="273" t="s">
        <v>378</v>
      </c>
      <c r="J11" s="264" t="str">
        <f>VLOOKUP(G11,WD!$C$6:$K$71,3,0)</f>
        <v>KB</v>
      </c>
      <c r="K11" s="274">
        <v>2</v>
      </c>
      <c r="L11" s="264">
        <f>21+21</f>
        <v>42</v>
      </c>
      <c r="M11" s="264">
        <f>5+14</f>
        <v>19</v>
      </c>
      <c r="N11" s="264">
        <v>0</v>
      </c>
      <c r="O11" s="248" t="s">
        <v>556</v>
      </c>
      <c r="Q11" s="248"/>
      <c r="R11" s="263">
        <v>2</v>
      </c>
      <c r="S11" s="283" t="s">
        <v>473</v>
      </c>
      <c r="T11" s="283">
        <v>1</v>
      </c>
      <c r="U11" s="283">
        <v>0</v>
      </c>
      <c r="V11" s="283">
        <v>1</v>
      </c>
      <c r="W11" s="283">
        <f>T11*3+U11*1</f>
        <v>3</v>
      </c>
      <c r="Y11" s="263">
        <v>2</v>
      </c>
      <c r="Z11" s="283" t="s">
        <v>432</v>
      </c>
      <c r="AA11" s="283">
        <v>1</v>
      </c>
      <c r="AB11" s="283">
        <v>1</v>
      </c>
      <c r="AC11" s="283">
        <v>0</v>
      </c>
      <c r="AD11" s="283">
        <f>AA11*3+AB11*1+AC11*0</f>
        <v>4</v>
      </c>
    </row>
    <row r="12" spans="1:30" ht="18.75" hidden="1">
      <c r="A12" s="277"/>
      <c r="B12" s="468">
        <v>7</v>
      </c>
      <c r="C12" s="469" t="s">
        <v>267</v>
      </c>
      <c r="D12" s="482">
        <v>1</v>
      </c>
      <c r="E12" s="483" t="s">
        <v>77</v>
      </c>
      <c r="F12" s="483" t="s">
        <v>378</v>
      </c>
      <c r="G12" s="483" t="s">
        <v>229</v>
      </c>
      <c r="H12" s="264" t="str">
        <f>VLOOKUP(E12,WD!$C$6:$K$71,3,0)</f>
        <v>The Passionate Miami</v>
      </c>
      <c r="I12" s="273" t="s">
        <v>378</v>
      </c>
      <c r="J12" s="264" t="e">
        <f>VLOOKUP(G12,WD!$C$6:$K$71,3,0)</f>
        <v>#N/A</v>
      </c>
      <c r="K12" s="274"/>
      <c r="L12" s="264"/>
      <c r="M12" s="264"/>
      <c r="N12" s="264"/>
      <c r="Q12" s="248"/>
      <c r="R12" s="263"/>
      <c r="S12" s="283"/>
      <c r="T12" s="283"/>
      <c r="U12" s="283"/>
      <c r="V12" s="283"/>
      <c r="W12" s="283"/>
      <c r="Y12" s="263"/>
      <c r="Z12" s="283"/>
      <c r="AA12" s="283"/>
      <c r="AB12" s="283"/>
      <c r="AC12" s="283"/>
      <c r="AD12" s="283"/>
    </row>
    <row r="13" spans="1:30" ht="18.75">
      <c r="A13" s="277"/>
      <c r="B13" s="476">
        <v>4</v>
      </c>
      <c r="C13" s="484" t="s">
        <v>267</v>
      </c>
      <c r="D13" s="485">
        <v>2</v>
      </c>
      <c r="E13" s="472" t="s">
        <v>155</v>
      </c>
      <c r="F13" s="472" t="s">
        <v>378</v>
      </c>
      <c r="G13" s="477" t="s">
        <v>173</v>
      </c>
      <c r="H13" s="264" t="str">
        <f>VLOOKUP(E13,WD!$C$6:$K$71,3,0)</f>
        <v>J&amp;M</v>
      </c>
      <c r="I13" s="273" t="s">
        <v>378</v>
      </c>
      <c r="J13" s="264" t="str">
        <f>VLOOKUP(G13,WD!$C$6:$K$71,3,0)</f>
        <v>Glory</v>
      </c>
      <c r="K13" s="274">
        <v>2</v>
      </c>
      <c r="L13" s="264">
        <f>21+21</f>
        <v>42</v>
      </c>
      <c r="M13" s="264">
        <f>8+10</f>
        <v>18</v>
      </c>
      <c r="N13" s="264">
        <v>0</v>
      </c>
      <c r="O13" s="248" t="s">
        <v>557</v>
      </c>
      <c r="R13" s="263">
        <v>3</v>
      </c>
      <c r="S13" s="283" t="s">
        <v>461</v>
      </c>
      <c r="T13" s="283">
        <v>0</v>
      </c>
      <c r="U13" s="283">
        <v>0</v>
      </c>
      <c r="V13" s="283">
        <v>2</v>
      </c>
      <c r="W13" s="283">
        <f>T13/83+U13*1</f>
        <v>0</v>
      </c>
      <c r="Y13" s="263">
        <v>3</v>
      </c>
      <c r="Z13" s="283" t="s">
        <v>481</v>
      </c>
      <c r="AA13" s="283">
        <v>0</v>
      </c>
      <c r="AB13" s="283">
        <v>0</v>
      </c>
      <c r="AC13" s="283">
        <v>2</v>
      </c>
      <c r="AD13" s="283">
        <f>AA13*3+AB13*1+AC13*0</f>
        <v>0</v>
      </c>
    </row>
    <row r="14" spans="1:30" ht="18.75">
      <c r="A14" s="277"/>
      <c r="B14" s="468">
        <v>5</v>
      </c>
      <c r="C14" s="484" t="s">
        <v>267</v>
      </c>
      <c r="D14" s="485">
        <v>3</v>
      </c>
      <c r="E14" s="472" t="s">
        <v>77</v>
      </c>
      <c r="F14" s="472" t="s">
        <v>378</v>
      </c>
      <c r="G14" s="477" t="s">
        <v>173</v>
      </c>
      <c r="H14" s="264" t="str">
        <f>VLOOKUP(E14,WD!$C$6:$K$71,3,0)</f>
        <v>The Passionate Miami</v>
      </c>
      <c r="I14" s="273" t="s">
        <v>378</v>
      </c>
      <c r="J14" s="264" t="str">
        <f>VLOOKUP(G14,WD!$C$6:$K$71,3,0)</f>
        <v>Glory</v>
      </c>
      <c r="K14" s="274">
        <v>2</v>
      </c>
      <c r="L14" s="264">
        <f>21+21</f>
        <v>42</v>
      </c>
      <c r="M14" s="264">
        <f>9+11</f>
        <v>20</v>
      </c>
      <c r="N14" s="264">
        <v>0</v>
      </c>
      <c r="O14" s="248" t="s">
        <v>558</v>
      </c>
    </row>
    <row r="15" spans="1:30" ht="18.75" hidden="1">
      <c r="A15" s="277"/>
      <c r="B15" s="476">
        <v>10</v>
      </c>
      <c r="C15" s="484" t="s">
        <v>267</v>
      </c>
      <c r="D15" s="485">
        <v>4</v>
      </c>
      <c r="E15" s="472" t="s">
        <v>155</v>
      </c>
      <c r="F15" s="472" t="s">
        <v>378</v>
      </c>
      <c r="G15" s="477" t="s">
        <v>229</v>
      </c>
      <c r="H15" s="264" t="str">
        <f>VLOOKUP(E15,WD!$C$6:$K$71,3,0)</f>
        <v>J&amp;M</v>
      </c>
      <c r="I15" s="273" t="s">
        <v>378</v>
      </c>
      <c r="J15" s="264" t="e">
        <f>VLOOKUP(G15,WD!$C$6:$K$71,3,0)</f>
        <v>#N/A</v>
      </c>
      <c r="K15" s="274"/>
      <c r="L15" s="264"/>
      <c r="M15" s="264"/>
      <c r="N15" s="264"/>
    </row>
    <row r="16" spans="1:30" ht="18.75" hidden="1">
      <c r="A16" s="277"/>
      <c r="B16" s="468">
        <v>11</v>
      </c>
      <c r="C16" s="484" t="s">
        <v>267</v>
      </c>
      <c r="D16" s="485">
        <v>5</v>
      </c>
      <c r="E16" s="472" t="s">
        <v>173</v>
      </c>
      <c r="F16" s="472" t="s">
        <v>378</v>
      </c>
      <c r="G16" s="477" t="s">
        <v>229</v>
      </c>
      <c r="H16" s="264" t="str">
        <f>VLOOKUP(E16,WD!$C$6:$K$71,3,0)</f>
        <v>Glory</v>
      </c>
      <c r="I16" s="273" t="s">
        <v>378</v>
      </c>
      <c r="J16" s="264" t="e">
        <f>VLOOKUP(G16,WD!$C$6:$K$71,3,0)</f>
        <v>#N/A</v>
      </c>
      <c r="K16" s="274"/>
      <c r="L16" s="264"/>
      <c r="M16" s="264"/>
      <c r="N16" s="264"/>
    </row>
    <row r="17" spans="1:30" ht="18.75">
      <c r="A17" s="277"/>
      <c r="B17" s="476">
        <v>6</v>
      </c>
      <c r="C17" s="478" t="s">
        <v>267</v>
      </c>
      <c r="D17" s="479">
        <v>6</v>
      </c>
      <c r="E17" s="481" t="s">
        <v>77</v>
      </c>
      <c r="F17" s="481" t="s">
        <v>378</v>
      </c>
      <c r="G17" s="481" t="s">
        <v>155</v>
      </c>
      <c r="H17" s="264" t="str">
        <f>VLOOKUP(E17,WD!$C$6:$K$71,3,0)</f>
        <v>The Passionate Miami</v>
      </c>
      <c r="I17" s="273" t="s">
        <v>378</v>
      </c>
      <c r="J17" s="264" t="str">
        <f>VLOOKUP(G17,WD!$C$6:$K$71,3,0)</f>
        <v>J&amp;M</v>
      </c>
      <c r="K17" s="274">
        <v>1</v>
      </c>
      <c r="L17" s="264">
        <f>13+21</f>
        <v>34</v>
      </c>
      <c r="M17" s="264">
        <f>21+13</f>
        <v>34</v>
      </c>
      <c r="N17" s="264">
        <v>1</v>
      </c>
      <c r="O17" s="248" t="s">
        <v>559</v>
      </c>
    </row>
    <row r="18" spans="1:30" ht="18.75" hidden="1">
      <c r="A18" s="277"/>
      <c r="B18" s="468">
        <v>13</v>
      </c>
      <c r="C18" s="486" t="s">
        <v>268</v>
      </c>
      <c r="D18" s="470">
        <v>1</v>
      </c>
      <c r="E18" s="487" t="s">
        <v>83</v>
      </c>
      <c r="F18" s="483" t="s">
        <v>378</v>
      </c>
      <c r="G18" s="483" t="s">
        <v>200</v>
      </c>
      <c r="H18" s="264" t="str">
        <f>VLOOKUP(E18,WD!$C$6:$K$71,3,0)</f>
        <v xml:space="preserve">Reunion </v>
      </c>
      <c r="I18" s="273" t="s">
        <v>378</v>
      </c>
      <c r="J18" s="264" t="str">
        <f>VLOOKUP(G18,WD!$C$6:$K$71,3,0)</f>
        <v>C4</v>
      </c>
      <c r="K18" s="274"/>
      <c r="L18" s="264"/>
      <c r="M18" s="264"/>
      <c r="N18" s="264"/>
      <c r="Q18" s="248"/>
    </row>
    <row r="19" spans="1:30" ht="18.75">
      <c r="A19" s="277" t="e">
        <f>IF(#REF!&lt;&gt;#REF!,#REF!,"")</f>
        <v>#REF!</v>
      </c>
      <c r="B19" s="476">
        <v>7</v>
      </c>
      <c r="C19" s="484" t="s">
        <v>268</v>
      </c>
      <c r="D19" s="470">
        <v>2</v>
      </c>
      <c r="E19" s="471" t="s">
        <v>149</v>
      </c>
      <c r="F19" s="472" t="s">
        <v>378</v>
      </c>
      <c r="G19" s="477" t="s">
        <v>178</v>
      </c>
      <c r="H19" s="264" t="str">
        <f>VLOOKUP(E19,WD!$C$6:$K$71,3,0)</f>
        <v>MKC</v>
      </c>
      <c r="I19" s="273" t="s">
        <v>378</v>
      </c>
      <c r="J19" s="264" t="str">
        <f>VLOOKUP(G19,WD!$C$6:$K$71,3,0)</f>
        <v xml:space="preserve">tung&amp;yeung </v>
      </c>
      <c r="K19" s="274">
        <v>2</v>
      </c>
      <c r="L19" s="264">
        <f>21+21</f>
        <v>42</v>
      </c>
      <c r="M19" s="264">
        <f>12+16</f>
        <v>28</v>
      </c>
      <c r="N19" s="264">
        <v>0</v>
      </c>
      <c r="O19" s="248" t="s">
        <v>555</v>
      </c>
      <c r="P19" s="259"/>
      <c r="Q19" s="248"/>
      <c r="R19" s="275" t="s">
        <v>380</v>
      </c>
      <c r="S19" s="276" t="s">
        <v>50</v>
      </c>
      <c r="T19" s="276" t="s">
        <v>381</v>
      </c>
      <c r="U19" s="276" t="s">
        <v>382</v>
      </c>
      <c r="V19" s="276" t="s">
        <v>383</v>
      </c>
      <c r="W19" s="276" t="s">
        <v>61</v>
      </c>
      <c r="Y19" s="275" t="s">
        <v>380</v>
      </c>
      <c r="Z19" s="276" t="s">
        <v>50</v>
      </c>
      <c r="AA19" s="276" t="s">
        <v>381</v>
      </c>
      <c r="AB19" s="276" t="s">
        <v>382</v>
      </c>
      <c r="AC19" s="276" t="s">
        <v>383</v>
      </c>
      <c r="AD19" s="276" t="s">
        <v>61</v>
      </c>
    </row>
    <row r="20" spans="1:30" ht="18.75">
      <c r="A20" s="277" t="e">
        <f>IF(#REF!&lt;&gt;#REF!,#REF!,"")</f>
        <v>#REF!</v>
      </c>
      <c r="B20" s="468">
        <v>8</v>
      </c>
      <c r="C20" s="484" t="s">
        <v>268</v>
      </c>
      <c r="D20" s="470">
        <v>3</v>
      </c>
      <c r="E20" s="471" t="s">
        <v>83</v>
      </c>
      <c r="F20" s="472" t="s">
        <v>378</v>
      </c>
      <c r="G20" s="477" t="s">
        <v>178</v>
      </c>
      <c r="H20" s="264" t="str">
        <f>VLOOKUP(E20,WD!$C$6:$K$71,3,0)</f>
        <v xml:space="preserve">Reunion </v>
      </c>
      <c r="I20" s="273" t="s">
        <v>378</v>
      </c>
      <c r="J20" s="264" t="str">
        <f>VLOOKUP(G20,WD!$C$6:$K$71,3,0)</f>
        <v xml:space="preserve">tung&amp;yeung </v>
      </c>
      <c r="K20" s="274">
        <v>1</v>
      </c>
      <c r="L20" s="264">
        <f>22+17</f>
        <v>39</v>
      </c>
      <c r="M20" s="264">
        <f>20+21</f>
        <v>41</v>
      </c>
      <c r="N20" s="264">
        <v>1</v>
      </c>
      <c r="O20" s="248" t="s">
        <v>560</v>
      </c>
      <c r="P20" s="259"/>
      <c r="Q20" s="276" t="s">
        <v>268</v>
      </c>
      <c r="R20" s="263">
        <v>1</v>
      </c>
      <c r="S20" s="488" t="s">
        <v>451</v>
      </c>
      <c r="T20" s="283">
        <v>1</v>
      </c>
      <c r="U20" s="283">
        <v>1</v>
      </c>
      <c r="V20" s="283">
        <v>0</v>
      </c>
      <c r="W20" s="283">
        <f>T20*3+U20*1+V20*0</f>
        <v>4</v>
      </c>
      <c r="X20" s="475" t="s">
        <v>269</v>
      </c>
      <c r="Y20" s="263">
        <v>1</v>
      </c>
      <c r="Z20" s="488" t="s">
        <v>442</v>
      </c>
      <c r="AA20" s="283">
        <v>3</v>
      </c>
      <c r="AB20" s="283">
        <v>0</v>
      </c>
      <c r="AC20" s="283">
        <v>0</v>
      </c>
      <c r="AD20" s="283">
        <f>AA20*3+AB20*1+AC20*0</f>
        <v>9</v>
      </c>
    </row>
    <row r="21" spans="1:30" ht="18.75" hidden="1">
      <c r="A21" s="277" t="e">
        <f>IF(#REF!&lt;&gt;#REF!,#REF!,"")</f>
        <v>#REF!</v>
      </c>
      <c r="B21" s="476">
        <v>16</v>
      </c>
      <c r="C21" s="484" t="s">
        <v>268</v>
      </c>
      <c r="D21" s="470">
        <v>4</v>
      </c>
      <c r="E21" s="471" t="s">
        <v>149</v>
      </c>
      <c r="F21" s="472" t="s">
        <v>378</v>
      </c>
      <c r="G21" s="477" t="s">
        <v>200</v>
      </c>
      <c r="H21" s="264" t="str">
        <f>VLOOKUP(E21,WD!$C$6:$K$71,3,0)</f>
        <v>MKC</v>
      </c>
      <c r="I21" s="273" t="s">
        <v>378</v>
      </c>
      <c r="J21" s="264" t="str">
        <f>VLOOKUP(G21,WD!$C$6:$K$71,3,0)</f>
        <v>C4</v>
      </c>
      <c r="K21" s="274"/>
      <c r="L21" s="264"/>
      <c r="M21" s="264"/>
      <c r="N21" s="264"/>
      <c r="Q21" s="248"/>
      <c r="R21" s="263">
        <v>2</v>
      </c>
      <c r="S21" s="283"/>
      <c r="T21" s="283"/>
      <c r="U21" s="283"/>
      <c r="V21" s="283"/>
      <c r="W21" s="283">
        <f>T21*3+U21*1+V21*0</f>
        <v>0</v>
      </c>
      <c r="Y21" s="263">
        <v>2</v>
      </c>
      <c r="Z21" s="283"/>
      <c r="AA21" s="283"/>
      <c r="AB21" s="283"/>
      <c r="AC21" s="283"/>
      <c r="AD21" s="283">
        <f>AA21*3+AC21*0</f>
        <v>0</v>
      </c>
    </row>
    <row r="22" spans="1:30" ht="18.75" hidden="1">
      <c r="A22" s="277" t="e">
        <f>IF(#REF!&lt;&gt;#REF!,#REF!,"")</f>
        <v>#REF!</v>
      </c>
      <c r="B22" s="468">
        <v>17</v>
      </c>
      <c r="C22" s="484" t="s">
        <v>268</v>
      </c>
      <c r="D22" s="470">
        <v>5</v>
      </c>
      <c r="E22" s="471" t="s">
        <v>178</v>
      </c>
      <c r="F22" s="472" t="s">
        <v>378</v>
      </c>
      <c r="G22" s="477" t="s">
        <v>200</v>
      </c>
      <c r="H22" s="264" t="str">
        <f>VLOOKUP(E22,WD!$C$6:$K$71,3,0)</f>
        <v xml:space="preserve">tung&amp;yeung </v>
      </c>
      <c r="I22" s="273" t="s">
        <v>378</v>
      </c>
      <c r="J22" s="264" t="str">
        <f>VLOOKUP(G22,WD!$C$6:$K$71,3,0)</f>
        <v>C4</v>
      </c>
      <c r="K22" s="274"/>
      <c r="L22" s="264"/>
      <c r="M22" s="264"/>
      <c r="N22" s="264"/>
      <c r="Q22" s="248"/>
      <c r="R22" s="263">
        <v>3</v>
      </c>
      <c r="S22" s="283"/>
      <c r="T22" s="283"/>
      <c r="U22" s="283"/>
      <c r="V22" s="283"/>
      <c r="W22" s="283">
        <f>T22*3+U22*1+V22*0</f>
        <v>0</v>
      </c>
      <c r="Y22" s="263">
        <v>3</v>
      </c>
      <c r="Z22" s="283"/>
      <c r="AA22" s="283"/>
      <c r="AB22" s="283"/>
      <c r="AC22" s="283"/>
      <c r="AD22" s="283">
        <f>AA22*3+AC22*0</f>
        <v>0</v>
      </c>
    </row>
    <row r="23" spans="1:30" ht="18.75">
      <c r="A23" s="277" t="e">
        <f>IF(#REF!&lt;&gt;#REF!,#REF!,"")</f>
        <v>#REF!</v>
      </c>
      <c r="B23" s="476">
        <v>9</v>
      </c>
      <c r="C23" s="478" t="s">
        <v>268</v>
      </c>
      <c r="D23" s="479">
        <v>6</v>
      </c>
      <c r="E23" s="480" t="s">
        <v>83</v>
      </c>
      <c r="F23" s="481" t="s">
        <v>378</v>
      </c>
      <c r="G23" s="481" t="s">
        <v>149</v>
      </c>
      <c r="H23" s="264" t="str">
        <f>VLOOKUP(E23,WD!$C$6:$K$71,3,0)</f>
        <v xml:space="preserve">Reunion </v>
      </c>
      <c r="I23" s="273" t="s">
        <v>378</v>
      </c>
      <c r="J23" s="264" t="str">
        <f>VLOOKUP(G23,WD!$C$6:$K$71,3,0)</f>
        <v>MKC</v>
      </c>
      <c r="K23" s="274">
        <v>1</v>
      </c>
      <c r="L23" s="264">
        <f>21+16</f>
        <v>37</v>
      </c>
      <c r="M23" s="264">
        <f>18+21</f>
        <v>39</v>
      </c>
      <c r="N23" s="264">
        <v>1</v>
      </c>
      <c r="O23" s="489" t="s">
        <v>561</v>
      </c>
      <c r="Q23" s="248"/>
      <c r="R23" s="263">
        <v>2</v>
      </c>
      <c r="S23" s="488" t="s">
        <v>562</v>
      </c>
      <c r="T23" s="283">
        <v>0</v>
      </c>
      <c r="U23" s="283">
        <v>2</v>
      </c>
      <c r="V23" s="283">
        <v>0</v>
      </c>
      <c r="W23" s="283">
        <f>T23*3+U23*1+V23*0</f>
        <v>2</v>
      </c>
      <c r="Y23" s="263">
        <v>2</v>
      </c>
      <c r="Z23" s="488" t="s">
        <v>465</v>
      </c>
      <c r="AA23" s="283">
        <v>2</v>
      </c>
      <c r="AB23" s="283">
        <v>0</v>
      </c>
      <c r="AC23" s="283">
        <v>1</v>
      </c>
      <c r="AD23" s="283">
        <f>AA23*3+AB23*1+AC23*0</f>
        <v>6</v>
      </c>
    </row>
    <row r="24" spans="1:30" ht="18.75">
      <c r="A24" s="277" t="e">
        <f>IF(#REF!&lt;&gt;#REF!,#REF!,"")</f>
        <v>#REF!</v>
      </c>
      <c r="B24" s="468">
        <v>19</v>
      </c>
      <c r="C24" s="469" t="s">
        <v>269</v>
      </c>
      <c r="D24" s="470">
        <v>1</v>
      </c>
      <c r="E24" s="471" t="s">
        <v>89</v>
      </c>
      <c r="F24" s="472" t="s">
        <v>378</v>
      </c>
      <c r="G24" s="477" t="s">
        <v>217</v>
      </c>
      <c r="H24" s="264" t="str">
        <f>VLOOKUP(E24,WD!$C$6:$K$71,3,0)</f>
        <v>薯仔一隊</v>
      </c>
      <c r="I24" s="273" t="s">
        <v>378</v>
      </c>
      <c r="J24" s="264" t="str">
        <f>VLOOKUP(G24,WD!$C$6:$K$71,3,0)</f>
        <v>limit</v>
      </c>
      <c r="K24" s="274">
        <v>2</v>
      </c>
      <c r="L24" s="264">
        <f>21+21</f>
        <v>42</v>
      </c>
      <c r="M24" s="264">
        <f>14+16</f>
        <v>30</v>
      </c>
      <c r="N24" s="264">
        <v>0</v>
      </c>
      <c r="O24" s="248" t="s">
        <v>563</v>
      </c>
      <c r="R24" s="263">
        <v>3</v>
      </c>
      <c r="S24" s="488" t="s">
        <v>564</v>
      </c>
      <c r="T24" s="283">
        <v>0</v>
      </c>
      <c r="U24" s="283">
        <v>1</v>
      </c>
      <c r="V24" s="283">
        <v>1</v>
      </c>
      <c r="W24" s="283">
        <f>T24*3+U24*1+V24*0</f>
        <v>1</v>
      </c>
      <c r="Y24" s="263">
        <v>3</v>
      </c>
      <c r="Z24" s="283" t="s">
        <v>469</v>
      </c>
      <c r="AA24" s="283">
        <v>1</v>
      </c>
      <c r="AB24" s="283">
        <v>0</v>
      </c>
      <c r="AC24" s="283">
        <v>2</v>
      </c>
      <c r="AD24" s="283">
        <f>AA24*3+AB24*1+AC24*0</f>
        <v>3</v>
      </c>
    </row>
    <row r="25" spans="1:30" ht="18.75">
      <c r="A25" s="277" t="e">
        <f>IF(#REF!&lt;&gt;#REF!,#REF!,"")</f>
        <v>#REF!</v>
      </c>
      <c r="B25" s="476">
        <v>10</v>
      </c>
      <c r="C25" s="469" t="s">
        <v>269</v>
      </c>
      <c r="D25" s="470">
        <v>2</v>
      </c>
      <c r="E25" s="471" t="s">
        <v>143</v>
      </c>
      <c r="F25" s="472" t="s">
        <v>378</v>
      </c>
      <c r="G25" s="477" t="s">
        <v>184</v>
      </c>
      <c r="H25" s="264" t="str">
        <f>VLOOKUP(E25,WD!$C$6:$K$71,3,0)</f>
        <v>MS YY</v>
      </c>
      <c r="I25" s="273" t="s">
        <v>378</v>
      </c>
      <c r="J25" s="264" t="str">
        <f>VLOOKUP(G25,WD!$C$6:$K$71,3,0)</f>
        <v>爭氣</v>
      </c>
      <c r="K25" s="274">
        <v>0</v>
      </c>
      <c r="L25" s="264">
        <v>0</v>
      </c>
      <c r="M25" s="264">
        <v>42</v>
      </c>
      <c r="N25" s="264">
        <v>2</v>
      </c>
      <c r="O25" s="489" t="s">
        <v>565</v>
      </c>
      <c r="S25" s="247" t="s">
        <v>0</v>
      </c>
      <c r="Y25" s="286"/>
      <c r="Z25" s="490" t="s">
        <v>446</v>
      </c>
      <c r="AA25" s="490"/>
      <c r="AB25" s="490"/>
      <c r="AC25" s="490"/>
      <c r="AD25" s="490">
        <f>AA25*3+AB25*1+AC25*0</f>
        <v>0</v>
      </c>
    </row>
    <row r="26" spans="1:30" ht="18.75">
      <c r="A26" s="277" t="e">
        <f>IF(#REF!&lt;&gt;#REF!,#REF!,"")</f>
        <v>#REF!</v>
      </c>
      <c r="B26" s="468">
        <v>11</v>
      </c>
      <c r="C26" s="469" t="s">
        <v>269</v>
      </c>
      <c r="D26" s="470">
        <v>3</v>
      </c>
      <c r="E26" s="471" t="s">
        <v>89</v>
      </c>
      <c r="F26" s="472" t="s">
        <v>378</v>
      </c>
      <c r="G26" s="477" t="s">
        <v>184</v>
      </c>
      <c r="H26" s="264" t="str">
        <f>VLOOKUP(E26,WD!$C$6:$K$71,3,0)</f>
        <v>薯仔一隊</v>
      </c>
      <c r="I26" s="273" t="s">
        <v>378</v>
      </c>
      <c r="J26" s="264" t="str">
        <f>VLOOKUP(G26,WD!$C$6:$K$71,3,0)</f>
        <v>爭氣</v>
      </c>
      <c r="K26" s="274">
        <v>2</v>
      </c>
      <c r="L26" s="264">
        <f>21+21</f>
        <v>42</v>
      </c>
      <c r="M26" s="264">
        <f>11+13</f>
        <v>24</v>
      </c>
      <c r="N26" s="264">
        <v>0</v>
      </c>
      <c r="O26" s="248" t="s">
        <v>566</v>
      </c>
    </row>
    <row r="27" spans="1:30" ht="18.75">
      <c r="A27" s="277" t="e">
        <f>IF(#REF!&lt;&gt;#REF!,#REF!,"")</f>
        <v>#REF!</v>
      </c>
      <c r="B27" s="476">
        <v>22</v>
      </c>
      <c r="C27" s="469" t="s">
        <v>269</v>
      </c>
      <c r="D27" s="470">
        <v>4</v>
      </c>
      <c r="E27" s="471" t="s">
        <v>143</v>
      </c>
      <c r="F27" s="472" t="s">
        <v>378</v>
      </c>
      <c r="G27" s="477" t="s">
        <v>217</v>
      </c>
      <c r="H27" s="264" t="str">
        <f>VLOOKUP(E27,WD!$C$6:$K$71,3,0)</f>
        <v>MS YY</v>
      </c>
      <c r="I27" s="273" t="s">
        <v>378</v>
      </c>
      <c r="J27" s="264" t="str">
        <f>VLOOKUP(G27,WD!$C$6:$K$71,3,0)</f>
        <v>limit</v>
      </c>
      <c r="K27" s="274">
        <v>0</v>
      </c>
      <c r="L27" s="264">
        <v>0</v>
      </c>
      <c r="M27" s="264">
        <v>42</v>
      </c>
      <c r="N27" s="264">
        <v>2</v>
      </c>
      <c r="O27" s="489" t="s">
        <v>565</v>
      </c>
    </row>
    <row r="28" spans="1:30" ht="18.75">
      <c r="A28" s="277" t="e">
        <f>IF(#REF!&lt;&gt;#REF!,#REF!,"")</f>
        <v>#REF!</v>
      </c>
      <c r="B28" s="468">
        <v>23</v>
      </c>
      <c r="C28" s="469" t="s">
        <v>269</v>
      </c>
      <c r="D28" s="470">
        <v>5</v>
      </c>
      <c r="E28" s="471" t="s">
        <v>184</v>
      </c>
      <c r="F28" s="472" t="s">
        <v>378</v>
      </c>
      <c r="G28" s="477" t="s">
        <v>217</v>
      </c>
      <c r="H28" s="264" t="str">
        <f>VLOOKUP(E28,WD!$C$6:$K$71,3,0)</f>
        <v>爭氣</v>
      </c>
      <c r="I28" s="273" t="s">
        <v>378</v>
      </c>
      <c r="J28" s="264" t="str">
        <f>VLOOKUP(G28,WD!$C$6:$K$71,3,0)</f>
        <v>limit</v>
      </c>
      <c r="K28" s="491">
        <v>0</v>
      </c>
      <c r="L28" s="492">
        <f>17+14</f>
        <v>31</v>
      </c>
      <c r="M28" s="492">
        <f>21+21</f>
        <v>42</v>
      </c>
      <c r="N28" s="492">
        <v>2</v>
      </c>
      <c r="O28" s="248" t="s">
        <v>567</v>
      </c>
    </row>
    <row r="29" spans="1:30" ht="18.75">
      <c r="A29" s="277" t="e">
        <f>IF(#REF!&lt;&gt;#REF!,#REF!,"")</f>
        <v>#REF!</v>
      </c>
      <c r="B29" s="476">
        <v>12</v>
      </c>
      <c r="C29" s="493" t="s">
        <v>269</v>
      </c>
      <c r="D29" s="479">
        <v>6</v>
      </c>
      <c r="E29" s="480" t="s">
        <v>89</v>
      </c>
      <c r="F29" s="481" t="s">
        <v>378</v>
      </c>
      <c r="G29" s="481" t="s">
        <v>143</v>
      </c>
      <c r="H29" s="264" t="str">
        <f>VLOOKUP(E29,WD!$C$6:$K$71,3,0)</f>
        <v>薯仔一隊</v>
      </c>
      <c r="I29" s="273" t="s">
        <v>378</v>
      </c>
      <c r="J29" s="264" t="str">
        <f>VLOOKUP(G29,WD!$C$6:$K$71,3,0)</f>
        <v>MS YY</v>
      </c>
      <c r="K29" s="274">
        <v>2</v>
      </c>
      <c r="L29" s="264">
        <v>42</v>
      </c>
      <c r="M29" s="264">
        <v>0</v>
      </c>
      <c r="N29" s="264">
        <v>0</v>
      </c>
      <c r="O29" s="489" t="s">
        <v>565</v>
      </c>
      <c r="P29" s="259"/>
    </row>
    <row r="30" spans="1:30" ht="18.75" hidden="1">
      <c r="B30" s="476">
        <v>25</v>
      </c>
      <c r="C30" s="484" t="s">
        <v>270</v>
      </c>
      <c r="D30" s="470">
        <v>1</v>
      </c>
      <c r="E30" s="471" t="s">
        <v>95</v>
      </c>
      <c r="F30" s="472" t="s">
        <v>378</v>
      </c>
      <c r="G30" s="473" t="s">
        <v>221</v>
      </c>
      <c r="H30" s="265" t="str">
        <f>VLOOKUP(E30,WD!$C$6:$K$71,3,0)</f>
        <v>E1</v>
      </c>
      <c r="I30" s="494" t="s">
        <v>378</v>
      </c>
      <c r="J30" s="267" t="e">
        <f>VLOOKUP(G30,WD!$C$6:$K$71,3,0)</f>
        <v>#N/A</v>
      </c>
      <c r="K30" s="264"/>
      <c r="L30" s="264"/>
      <c r="M30" s="264"/>
      <c r="N30" s="264"/>
      <c r="R30" s="275" t="s">
        <v>380</v>
      </c>
      <c r="S30" s="276" t="s">
        <v>50</v>
      </c>
      <c r="T30" s="276" t="s">
        <v>381</v>
      </c>
      <c r="U30" s="276" t="s">
        <v>382</v>
      </c>
      <c r="V30" s="276" t="s">
        <v>383</v>
      </c>
      <c r="W30" s="276" t="s">
        <v>61</v>
      </c>
      <c r="Y30" s="275" t="s">
        <v>380</v>
      </c>
      <c r="Z30" s="276" t="s">
        <v>50</v>
      </c>
      <c r="AA30" s="276" t="s">
        <v>381</v>
      </c>
      <c r="AB30" s="276" t="s">
        <v>382</v>
      </c>
      <c r="AC30" s="276" t="s">
        <v>383</v>
      </c>
      <c r="AD30" s="276" t="s">
        <v>61</v>
      </c>
    </row>
    <row r="31" spans="1:30" ht="18.75" hidden="1">
      <c r="B31" s="476">
        <v>13</v>
      </c>
      <c r="C31" s="486" t="s">
        <v>270</v>
      </c>
      <c r="D31" s="470">
        <v>2</v>
      </c>
      <c r="E31" s="471" t="s">
        <v>137</v>
      </c>
      <c r="F31" s="472" t="s">
        <v>378</v>
      </c>
      <c r="G31" s="473" t="s">
        <v>190</v>
      </c>
      <c r="H31" s="474" t="str">
        <f>VLOOKUP(E31,WD!$C$6:$K$71,3,0)</f>
        <v>E2</v>
      </c>
      <c r="I31" s="474" t="s">
        <v>378</v>
      </c>
      <c r="J31" s="495" t="str">
        <f>VLOOKUP(G31,WD!$C$6:$K$71,3,0)</f>
        <v>E3</v>
      </c>
      <c r="K31" s="264"/>
      <c r="L31" s="264"/>
      <c r="M31" s="264"/>
      <c r="N31" s="264"/>
      <c r="O31" s="489"/>
      <c r="R31" s="263">
        <v>1</v>
      </c>
      <c r="S31" s="283"/>
      <c r="T31" s="283"/>
      <c r="U31" s="283"/>
      <c r="V31" s="283"/>
      <c r="W31" s="283">
        <f>T31*3+U31*1+V31*0</f>
        <v>0</v>
      </c>
      <c r="X31" s="475" t="s">
        <v>271</v>
      </c>
      <c r="Y31" s="263">
        <v>1</v>
      </c>
      <c r="Z31" s="283"/>
      <c r="AA31" s="283"/>
      <c r="AB31" s="283"/>
      <c r="AC31" s="283"/>
      <c r="AD31" s="283">
        <f>AA31*3+AB31*1+AC31*0</f>
        <v>0</v>
      </c>
    </row>
    <row r="32" spans="1:30" ht="18.75" hidden="1">
      <c r="B32" s="476">
        <v>14</v>
      </c>
      <c r="C32" s="484" t="s">
        <v>270</v>
      </c>
      <c r="D32" s="470">
        <v>3</v>
      </c>
      <c r="E32" s="471" t="s">
        <v>95</v>
      </c>
      <c r="F32" s="472" t="s">
        <v>378</v>
      </c>
      <c r="G32" s="473" t="s">
        <v>190</v>
      </c>
      <c r="H32" s="474" t="str">
        <f>VLOOKUP(E32,WD!$C$6:$K$71,3,0)</f>
        <v>E1</v>
      </c>
      <c r="I32" s="496" t="s">
        <v>378</v>
      </c>
      <c r="J32" s="495" t="str">
        <f>VLOOKUP(G32,WD!$C$6:$K$71,3,0)</f>
        <v>E3</v>
      </c>
      <c r="K32" s="264"/>
      <c r="L32" s="264"/>
      <c r="M32" s="264"/>
      <c r="N32" s="264"/>
      <c r="O32" s="489"/>
      <c r="Q32" s="388" t="s">
        <v>270</v>
      </c>
      <c r="R32" s="263">
        <v>2</v>
      </c>
      <c r="S32" s="283"/>
      <c r="T32" s="283"/>
      <c r="U32" s="283"/>
      <c r="V32" s="283"/>
      <c r="W32" s="283">
        <f>T32*3+V32*0</f>
        <v>0</v>
      </c>
      <c r="Y32" s="263">
        <v>2</v>
      </c>
      <c r="Z32" s="283"/>
      <c r="AA32" s="283"/>
      <c r="AB32" s="283"/>
      <c r="AC32" s="283"/>
      <c r="AD32" s="283">
        <f>AA32*3+AC32*0</f>
        <v>0</v>
      </c>
    </row>
    <row r="33" spans="2:30" ht="18.75" hidden="1">
      <c r="B33" s="476">
        <v>28</v>
      </c>
      <c r="C33" s="484" t="s">
        <v>270</v>
      </c>
      <c r="D33" s="470">
        <v>4</v>
      </c>
      <c r="E33" s="471" t="s">
        <v>137</v>
      </c>
      <c r="F33" s="472" t="s">
        <v>378</v>
      </c>
      <c r="G33" s="473" t="s">
        <v>221</v>
      </c>
      <c r="H33" s="474" t="str">
        <f>VLOOKUP(E33,WD!$C$6:$K$71,3,0)</f>
        <v>E2</v>
      </c>
      <c r="I33" s="265" t="s">
        <v>378</v>
      </c>
      <c r="J33" s="495" t="e">
        <f>VLOOKUP(G33,WD!$C$6:$K$71,3,0)</f>
        <v>#N/A</v>
      </c>
      <c r="K33" s="264"/>
      <c r="L33" s="264"/>
      <c r="M33" s="264"/>
      <c r="N33" s="264"/>
      <c r="R33" s="263">
        <v>3</v>
      </c>
      <c r="S33" s="283"/>
      <c r="T33" s="283"/>
      <c r="U33" s="283"/>
      <c r="V33" s="283"/>
      <c r="W33" s="283">
        <f>T33*3+V33*0</f>
        <v>0</v>
      </c>
      <c r="Y33" s="263">
        <v>3</v>
      </c>
      <c r="Z33" s="283"/>
      <c r="AA33" s="283"/>
      <c r="AB33" s="283"/>
      <c r="AC33" s="283"/>
      <c r="AD33" s="283">
        <f>AA33*3+AC33*0</f>
        <v>0</v>
      </c>
    </row>
    <row r="34" spans="2:30" ht="18.75" hidden="1">
      <c r="B34" s="476">
        <v>29</v>
      </c>
      <c r="C34" s="484" t="s">
        <v>270</v>
      </c>
      <c r="D34" s="470">
        <v>5</v>
      </c>
      <c r="E34" s="471" t="s">
        <v>190</v>
      </c>
      <c r="F34" s="472" t="s">
        <v>378</v>
      </c>
      <c r="G34" s="473" t="s">
        <v>221</v>
      </c>
      <c r="H34" s="474" t="str">
        <f>VLOOKUP(E34,WD!$C$6:$K$71,3,0)</f>
        <v>E3</v>
      </c>
      <c r="I34" s="474" t="s">
        <v>378</v>
      </c>
      <c r="J34" s="495" t="e">
        <f>VLOOKUP(G34,WD!$C$6:$K$71,3,0)</f>
        <v>#N/A</v>
      </c>
      <c r="K34" s="264"/>
      <c r="L34" s="264"/>
      <c r="M34" s="264"/>
      <c r="N34" s="264"/>
      <c r="R34" s="497">
        <v>2</v>
      </c>
      <c r="S34" s="285"/>
      <c r="T34" s="285"/>
      <c r="U34" s="285"/>
      <c r="V34" s="285"/>
      <c r="W34" s="285">
        <f>T34*3+U34*1+V34*0</f>
        <v>0</v>
      </c>
      <c r="Y34" s="263">
        <v>2</v>
      </c>
      <c r="Z34" s="283"/>
      <c r="AA34" s="283"/>
      <c r="AB34" s="283"/>
      <c r="AC34" s="283"/>
      <c r="AD34" s="283">
        <f>AA34*3+AB34*1+AC34*0</f>
        <v>0</v>
      </c>
    </row>
    <row r="35" spans="2:30" ht="18.75" hidden="1">
      <c r="B35" s="476">
        <v>15</v>
      </c>
      <c r="C35" s="478" t="s">
        <v>270</v>
      </c>
      <c r="D35" s="479">
        <v>6</v>
      </c>
      <c r="E35" s="480" t="s">
        <v>95</v>
      </c>
      <c r="F35" s="481" t="s">
        <v>378</v>
      </c>
      <c r="G35" s="498" t="s">
        <v>137</v>
      </c>
      <c r="H35" s="474" t="str">
        <f>VLOOKUP(E35,WD!$C$6:$K$71,3,0)</f>
        <v>E1</v>
      </c>
      <c r="I35" s="499" t="s">
        <v>378</v>
      </c>
      <c r="J35" s="495" t="str">
        <f>VLOOKUP(G35,WD!$C$6:$K$71,3,0)</f>
        <v>E2</v>
      </c>
      <c r="K35" s="264"/>
      <c r="L35" s="264"/>
      <c r="M35" s="264"/>
      <c r="N35" s="264"/>
      <c r="R35" s="263">
        <v>3</v>
      </c>
      <c r="S35" s="283"/>
      <c r="T35" s="283"/>
      <c r="U35" s="283"/>
      <c r="V35" s="283"/>
      <c r="W35" s="283">
        <f>T35*3+U35*1+V35*0</f>
        <v>0</v>
      </c>
      <c r="Y35" s="263">
        <v>3</v>
      </c>
      <c r="Z35" s="488"/>
      <c r="AA35" s="283"/>
      <c r="AB35" s="283"/>
      <c r="AC35" s="283"/>
      <c r="AD35" s="283">
        <f>AA35*3+AB35*1+AC35*0</f>
        <v>0</v>
      </c>
    </row>
    <row r="36" spans="2:30" ht="18.75" hidden="1">
      <c r="B36" s="476">
        <v>16</v>
      </c>
      <c r="C36" s="484" t="s">
        <v>271</v>
      </c>
      <c r="D36" s="470">
        <v>1</v>
      </c>
      <c r="E36" s="487" t="s">
        <v>101</v>
      </c>
      <c r="F36" s="483" t="s">
        <v>378</v>
      </c>
      <c r="G36" s="500" t="s">
        <v>238</v>
      </c>
      <c r="H36" s="474" t="str">
        <f>VLOOKUP(E36,WD!$C$6:$K$71,3,0)</f>
        <v>F1</v>
      </c>
      <c r="I36" s="494" t="s">
        <v>378</v>
      </c>
      <c r="J36" s="495" t="str">
        <f>VLOOKUP(G36,WD!$C$6:$K$71,3,0)</f>
        <v>F4</v>
      </c>
      <c r="K36" s="264"/>
      <c r="L36" s="264"/>
      <c r="M36" s="264"/>
      <c r="N36" s="264"/>
      <c r="O36" s="489"/>
      <c r="S36" s="248"/>
      <c r="T36" s="248"/>
      <c r="U36" s="248"/>
      <c r="V36" s="248"/>
      <c r="W36" s="248"/>
      <c r="Y36" s="263">
        <v>4</v>
      </c>
      <c r="Z36" s="488"/>
      <c r="AA36" s="283"/>
      <c r="AB36" s="283"/>
      <c r="AC36" s="283"/>
      <c r="AD36" s="283">
        <v>0</v>
      </c>
    </row>
    <row r="37" spans="2:30" ht="18.75" hidden="1">
      <c r="B37" s="476">
        <v>17</v>
      </c>
      <c r="C37" s="484" t="s">
        <v>271</v>
      </c>
      <c r="D37" s="470">
        <v>2</v>
      </c>
      <c r="E37" s="471" t="s">
        <v>131</v>
      </c>
      <c r="F37" s="472" t="s">
        <v>378</v>
      </c>
      <c r="G37" s="501" t="s">
        <v>196</v>
      </c>
      <c r="H37" s="474" t="str">
        <f>VLOOKUP(E37,WD!$C$6:$K$71,3,0)</f>
        <v>F2</v>
      </c>
      <c r="I37" s="502" t="s">
        <v>378</v>
      </c>
      <c r="J37" s="495" t="str">
        <f>VLOOKUP(G37,WD!$C$6:$K$71,3,0)</f>
        <v>F3</v>
      </c>
      <c r="K37" s="264"/>
      <c r="L37" s="264"/>
      <c r="M37" s="264"/>
      <c r="N37" s="264"/>
      <c r="O37" s="489"/>
    </row>
    <row r="38" spans="2:30" ht="18.75" hidden="1">
      <c r="B38" s="476">
        <v>18</v>
      </c>
      <c r="C38" s="484" t="s">
        <v>271</v>
      </c>
      <c r="D38" s="470">
        <v>3</v>
      </c>
      <c r="E38" s="471" t="s">
        <v>101</v>
      </c>
      <c r="F38" s="472" t="s">
        <v>378</v>
      </c>
      <c r="G38" s="501" t="s">
        <v>196</v>
      </c>
      <c r="H38" s="474" t="str">
        <f>VLOOKUP(E38,WD!$C$6:$K$71,3,0)</f>
        <v>F1</v>
      </c>
      <c r="I38" s="503" t="s">
        <v>378</v>
      </c>
      <c r="J38" s="495" t="str">
        <f>VLOOKUP(G38,WD!$C$6:$K$71,3,0)</f>
        <v>F3</v>
      </c>
      <c r="K38" s="264"/>
      <c r="L38" s="264"/>
      <c r="M38" s="264"/>
      <c r="N38" s="264"/>
      <c r="O38" s="489"/>
    </row>
    <row r="39" spans="2:30" ht="18.75" hidden="1">
      <c r="B39" s="476">
        <v>19</v>
      </c>
      <c r="C39" s="484" t="s">
        <v>271</v>
      </c>
      <c r="D39" s="470">
        <v>4</v>
      </c>
      <c r="E39" s="471" t="s">
        <v>131</v>
      </c>
      <c r="F39" s="472" t="s">
        <v>378</v>
      </c>
      <c r="G39" s="501" t="s">
        <v>238</v>
      </c>
      <c r="H39" s="474" t="str">
        <f>VLOOKUP(E39,WD!$C$6:$K$71,3,0)</f>
        <v>F2</v>
      </c>
      <c r="I39" s="265" t="s">
        <v>378</v>
      </c>
      <c r="J39" s="495" t="str">
        <f>VLOOKUP(G39,WD!$C$6:$K$71,3,0)</f>
        <v>F4</v>
      </c>
      <c r="K39" s="264"/>
      <c r="L39" s="264"/>
      <c r="M39" s="264"/>
      <c r="N39" s="264"/>
      <c r="O39" s="489"/>
    </row>
    <row r="40" spans="2:30" ht="18.75" hidden="1">
      <c r="B40" s="476">
        <v>20</v>
      </c>
      <c r="C40" s="484" t="s">
        <v>271</v>
      </c>
      <c r="D40" s="470">
        <v>5</v>
      </c>
      <c r="E40" s="471" t="s">
        <v>196</v>
      </c>
      <c r="F40" s="472" t="s">
        <v>378</v>
      </c>
      <c r="G40" s="501" t="s">
        <v>238</v>
      </c>
      <c r="H40" s="474" t="str">
        <f>VLOOKUP(E40,WD!$C$6:$K$71,3,0)</f>
        <v>F3</v>
      </c>
      <c r="I40" s="474" t="s">
        <v>378</v>
      </c>
      <c r="J40" s="495" t="str">
        <f>VLOOKUP(G40,WD!$C$6:$K$71,3,0)</f>
        <v>F4</v>
      </c>
      <c r="K40" s="264"/>
      <c r="L40" s="264"/>
      <c r="M40" s="264"/>
      <c r="N40" s="264"/>
      <c r="O40" s="489"/>
    </row>
    <row r="41" spans="2:30" ht="18.75" hidden="1">
      <c r="B41" s="476">
        <v>21</v>
      </c>
      <c r="C41" s="478" t="s">
        <v>271</v>
      </c>
      <c r="D41" s="479">
        <v>6</v>
      </c>
      <c r="E41" s="480" t="s">
        <v>101</v>
      </c>
      <c r="F41" s="481" t="s">
        <v>378</v>
      </c>
      <c r="G41" s="504" t="s">
        <v>131</v>
      </c>
      <c r="H41" s="505" t="str">
        <f>VLOOKUP(E41,WD!$C$6:$K$71,3,0)</f>
        <v>F1</v>
      </c>
      <c r="I41" s="506" t="s">
        <v>378</v>
      </c>
      <c r="J41" s="505" t="str">
        <f>VLOOKUP(G41,WD!$C$6:$K$71,3,0)</f>
        <v>F2</v>
      </c>
      <c r="K41" s="264"/>
      <c r="L41" s="264"/>
      <c r="M41" s="264"/>
      <c r="N41" s="264"/>
      <c r="O41" s="489"/>
    </row>
  </sheetData>
  <mergeCells count="1">
    <mergeCell ref="H3:J3"/>
  </mergeCells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222"/>
  <sheetViews>
    <sheetView topLeftCell="A191" zoomScale="70" zoomScaleNormal="70" workbookViewId="0">
      <selection activeCell="L201" sqref="L201"/>
    </sheetView>
  </sheetViews>
  <sheetFormatPr defaultRowHeight="17.25"/>
  <cols>
    <col min="1" max="1" width="7.44140625" style="507" customWidth="1"/>
    <col min="2" max="2" width="10.77734375" style="507" customWidth="1"/>
    <col min="3" max="6" width="8.77734375" style="508" customWidth="1"/>
    <col min="7" max="9" width="8.77734375" style="507" customWidth="1"/>
    <col min="10" max="10" width="10.77734375" style="507" customWidth="1"/>
    <col min="11" max="11" width="8.77734375" style="507" customWidth="1"/>
    <col min="12" max="13" width="8.77734375" style="508" customWidth="1"/>
    <col min="14" max="15" width="8.77734375" style="507" customWidth="1"/>
    <col min="16" max="1025" width="7.44140625" style="507" customWidth="1"/>
  </cols>
  <sheetData>
    <row r="1" spans="2:15" ht="16.5" customHeight="1">
      <c r="B1" s="509"/>
      <c r="C1" s="510"/>
      <c r="D1" s="510"/>
      <c r="E1" s="510"/>
      <c r="G1" s="511"/>
      <c r="H1" s="512" t="s">
        <v>568</v>
      </c>
      <c r="I1" s="511"/>
      <c r="J1" s="511"/>
    </row>
    <row r="2" spans="2:15" ht="16.5" customHeight="1">
      <c r="C2" s="510"/>
      <c r="D2" s="510"/>
      <c r="E2" s="510"/>
      <c r="G2" s="511"/>
      <c r="H2" s="513" t="s">
        <v>569</v>
      </c>
      <c r="I2" s="511"/>
      <c r="J2" s="511"/>
    </row>
    <row r="3" spans="2:15" ht="16.5" customHeight="1">
      <c r="C3" s="510"/>
      <c r="D3" s="510"/>
      <c r="E3" s="510"/>
      <c r="F3" s="511"/>
      <c r="G3" s="511"/>
      <c r="H3" s="511"/>
      <c r="I3" s="511"/>
      <c r="J3" s="511"/>
    </row>
    <row r="4" spans="2:15" ht="16.5" customHeight="1">
      <c r="C4" s="510"/>
      <c r="D4" s="510"/>
      <c r="E4" s="514"/>
      <c r="F4" s="515"/>
      <c r="G4" s="516"/>
      <c r="H4" s="517" t="s">
        <v>570</v>
      </c>
      <c r="I4" s="516"/>
      <c r="J4" s="516"/>
      <c r="K4" s="515"/>
    </row>
    <row r="5" spans="2:15" ht="16.5" customHeight="1">
      <c r="E5" s="518"/>
      <c r="F5" s="515"/>
      <c r="G5" s="515"/>
      <c r="H5" s="519" t="s">
        <v>571</v>
      </c>
      <c r="I5" s="515"/>
      <c r="J5" s="515"/>
      <c r="K5" s="515"/>
    </row>
    <row r="6" spans="2:15">
      <c r="B6" s="508"/>
      <c r="C6" s="520" t="s">
        <v>572</v>
      </c>
      <c r="D6" s="521"/>
      <c r="E6" s="522" t="s">
        <v>573</v>
      </c>
      <c r="F6" s="523"/>
      <c r="G6" s="508"/>
      <c r="H6" s="508"/>
      <c r="I6" s="508"/>
      <c r="J6" s="520" t="s">
        <v>572</v>
      </c>
      <c r="K6" s="521"/>
      <c r="L6" s="522" t="s">
        <v>573</v>
      </c>
      <c r="M6" s="523"/>
    </row>
    <row r="7" spans="2:15">
      <c r="B7" s="508"/>
      <c r="E7" s="524" t="s">
        <v>574</v>
      </c>
      <c r="F7" s="524"/>
      <c r="G7" s="508"/>
      <c r="H7" s="508"/>
      <c r="I7" s="508"/>
      <c r="J7" s="508"/>
      <c r="L7" s="524" t="s">
        <v>575</v>
      </c>
      <c r="M7" s="524"/>
      <c r="N7" s="524"/>
    </row>
    <row r="8" spans="2:15">
      <c r="B8" s="508"/>
      <c r="C8" s="525" t="s">
        <v>576</v>
      </c>
      <c r="D8" s="526" t="s">
        <v>577</v>
      </c>
      <c r="E8" s="527" t="s">
        <v>578</v>
      </c>
      <c r="F8" s="527" t="s">
        <v>579</v>
      </c>
      <c r="G8" s="528"/>
      <c r="H8" s="508"/>
      <c r="I8" s="508"/>
      <c r="J8" s="529" t="s">
        <v>580</v>
      </c>
      <c r="K8" s="529" t="s">
        <v>581</v>
      </c>
      <c r="L8" s="7" t="s">
        <v>582</v>
      </c>
      <c r="M8" s="7"/>
      <c r="N8" s="7"/>
      <c r="O8" s="7"/>
    </row>
    <row r="9" spans="2:15">
      <c r="B9" s="508"/>
      <c r="C9" s="530"/>
      <c r="D9" s="531" t="s">
        <v>583</v>
      </c>
      <c r="E9" s="532" t="s">
        <v>584</v>
      </c>
      <c r="F9" s="533" t="s">
        <v>585</v>
      </c>
      <c r="G9" s="534"/>
      <c r="H9" s="508"/>
      <c r="I9" s="508"/>
      <c r="J9" s="535" t="s">
        <v>586</v>
      </c>
      <c r="K9" s="535" t="s">
        <v>587</v>
      </c>
      <c r="L9" s="536" t="s">
        <v>266</v>
      </c>
      <c r="M9" s="536" t="s">
        <v>267</v>
      </c>
      <c r="N9" s="537"/>
      <c r="O9" s="536"/>
    </row>
    <row r="10" spans="2:15">
      <c r="B10" s="538"/>
      <c r="C10" s="530"/>
      <c r="D10" s="531" t="s">
        <v>588</v>
      </c>
      <c r="E10" s="531" t="s">
        <v>589</v>
      </c>
      <c r="F10" s="539" t="s">
        <v>375</v>
      </c>
      <c r="G10" s="534"/>
      <c r="H10" s="508"/>
      <c r="I10" s="508"/>
      <c r="J10" s="540">
        <v>0.375</v>
      </c>
      <c r="K10" s="536">
        <v>1</v>
      </c>
      <c r="L10" s="541" t="s">
        <v>590</v>
      </c>
      <c r="M10" s="542" t="s">
        <v>591</v>
      </c>
      <c r="N10" s="543"/>
      <c r="O10" s="544"/>
    </row>
    <row r="11" spans="2:15">
      <c r="B11" s="508"/>
      <c r="C11" s="545"/>
      <c r="D11" s="546" t="s">
        <v>592</v>
      </c>
      <c r="E11" s="547" t="s">
        <v>376</v>
      </c>
      <c r="F11" s="548" t="s">
        <v>593</v>
      </c>
      <c r="G11" s="549"/>
      <c r="H11" s="508"/>
      <c r="I11" s="508"/>
      <c r="J11" s="540">
        <v>0.38888888888888901</v>
      </c>
      <c r="K11" s="536">
        <v>2</v>
      </c>
      <c r="L11" s="541" t="s">
        <v>594</v>
      </c>
      <c r="M11" s="541" t="s">
        <v>595</v>
      </c>
      <c r="N11" s="544"/>
      <c r="O11" s="550"/>
    </row>
    <row r="12" spans="2:15">
      <c r="B12" s="508"/>
      <c r="G12" s="508"/>
      <c r="H12" s="508"/>
      <c r="I12" s="508"/>
      <c r="J12" s="540">
        <v>0.40277777777777801</v>
      </c>
      <c r="K12" s="536">
        <v>3</v>
      </c>
      <c r="L12" s="541" t="s">
        <v>596</v>
      </c>
      <c r="M12" s="551" t="s">
        <v>597</v>
      </c>
      <c r="N12" s="544"/>
      <c r="O12" s="550"/>
    </row>
    <row r="13" spans="2:15">
      <c r="B13" s="508"/>
      <c r="G13" s="508"/>
      <c r="H13" s="508"/>
      <c r="I13" s="508"/>
      <c r="J13" s="540">
        <v>0.41666666666666702</v>
      </c>
      <c r="K13" s="529">
        <v>4</v>
      </c>
      <c r="L13" s="552" t="s">
        <v>598</v>
      </c>
      <c r="M13" s="541" t="s">
        <v>599</v>
      </c>
      <c r="N13" s="544"/>
      <c r="O13" s="550"/>
    </row>
    <row r="14" spans="2:15" ht="18">
      <c r="B14" s="553"/>
      <c r="F14" s="507"/>
      <c r="H14" s="508"/>
      <c r="I14" s="508"/>
      <c r="J14" s="554">
        <v>0.43055555555555602</v>
      </c>
      <c r="K14" s="536">
        <v>5</v>
      </c>
      <c r="L14" s="555" t="s">
        <v>600</v>
      </c>
      <c r="M14" s="551" t="s">
        <v>601</v>
      </c>
      <c r="N14" s="544"/>
      <c r="O14" s="550"/>
    </row>
    <row r="15" spans="2:15" ht="17.25" customHeight="1">
      <c r="B15" s="529" t="s">
        <v>580</v>
      </c>
      <c r="C15" s="529" t="s">
        <v>581</v>
      </c>
      <c r="D15" s="7" t="s">
        <v>582</v>
      </c>
      <c r="E15" s="7"/>
      <c r="F15" s="7"/>
      <c r="G15" s="7"/>
      <c r="H15" s="508"/>
      <c r="I15" s="508"/>
      <c r="J15" s="6" t="s">
        <v>602</v>
      </c>
      <c r="K15" s="6"/>
      <c r="L15" s="6"/>
      <c r="M15" s="6"/>
      <c r="N15" s="6"/>
      <c r="O15" s="6"/>
    </row>
    <row r="16" spans="2:15" ht="17.45" customHeight="1">
      <c r="B16" s="535" t="s">
        <v>586</v>
      </c>
      <c r="C16" s="535" t="s">
        <v>587</v>
      </c>
      <c r="D16" s="536" t="s">
        <v>266</v>
      </c>
      <c r="E16" s="536" t="s">
        <v>267</v>
      </c>
      <c r="F16" s="537"/>
      <c r="G16" s="536"/>
      <c r="H16" s="508"/>
      <c r="I16" s="508"/>
      <c r="J16" s="540">
        <v>0.58333333333333304</v>
      </c>
      <c r="K16" s="556">
        <v>6</v>
      </c>
      <c r="L16" s="555" t="s">
        <v>603</v>
      </c>
      <c r="M16" s="541" t="s">
        <v>604</v>
      </c>
      <c r="N16" s="550"/>
      <c r="O16" s="550"/>
    </row>
    <row r="17" spans="2:15" ht="17.45" customHeight="1">
      <c r="B17" s="554">
        <v>0.58333333333333304</v>
      </c>
      <c r="C17" s="536">
        <v>1</v>
      </c>
      <c r="D17" s="557" t="s">
        <v>605</v>
      </c>
      <c r="E17" s="544"/>
      <c r="F17" s="544"/>
      <c r="G17" s="544"/>
      <c r="H17" s="508"/>
      <c r="I17" s="508"/>
      <c r="J17" s="540">
        <v>0.59722222222222199</v>
      </c>
      <c r="K17" s="556">
        <v>7</v>
      </c>
      <c r="L17" s="541" t="s">
        <v>606</v>
      </c>
      <c r="M17" s="541" t="s">
        <v>607</v>
      </c>
      <c r="N17" s="550"/>
      <c r="O17" s="550"/>
    </row>
    <row r="18" spans="2:15" ht="17.45" customHeight="1">
      <c r="B18" s="554">
        <v>0.59722222222222199</v>
      </c>
      <c r="C18" s="536">
        <v>2</v>
      </c>
      <c r="D18" s="557" t="s">
        <v>608</v>
      </c>
      <c r="E18" s="544"/>
      <c r="F18" s="544"/>
      <c r="G18" s="544"/>
      <c r="H18" s="508"/>
      <c r="I18" s="508"/>
      <c r="J18" s="540">
        <v>0.61111111111111105</v>
      </c>
      <c r="K18" s="556">
        <v>8</v>
      </c>
      <c r="L18" s="541" t="s">
        <v>609</v>
      </c>
      <c r="M18" s="541" t="s">
        <v>610</v>
      </c>
      <c r="N18" s="550"/>
      <c r="O18" s="550"/>
    </row>
    <row r="19" spans="2:15" ht="17.45" customHeight="1">
      <c r="B19" s="554">
        <v>0.61111111111111105</v>
      </c>
      <c r="C19" s="536">
        <v>3</v>
      </c>
      <c r="D19" s="557" t="s">
        <v>611</v>
      </c>
      <c r="E19" s="544"/>
      <c r="F19" s="536"/>
      <c r="G19" s="536"/>
      <c r="H19" s="508"/>
      <c r="I19" s="508"/>
      <c r="J19" s="554">
        <v>0.625</v>
      </c>
      <c r="K19" s="556">
        <v>9</v>
      </c>
      <c r="L19" s="555" t="s">
        <v>612</v>
      </c>
      <c r="M19" s="541" t="s">
        <v>613</v>
      </c>
      <c r="N19" s="558"/>
      <c r="O19" s="536"/>
    </row>
    <row r="20" spans="2:15" ht="17.45" customHeight="1">
      <c r="B20" s="554">
        <v>0.625</v>
      </c>
      <c r="C20" s="536">
        <v>4</v>
      </c>
      <c r="D20" s="557" t="s">
        <v>614</v>
      </c>
      <c r="E20" s="536"/>
      <c r="F20" s="536"/>
      <c r="G20" s="536"/>
      <c r="H20" s="508"/>
      <c r="I20" s="508"/>
      <c r="J20" s="554"/>
      <c r="K20" s="536"/>
      <c r="L20" s="536"/>
      <c r="M20" s="544"/>
      <c r="N20" s="536"/>
      <c r="O20" s="536"/>
    </row>
    <row r="21" spans="2:15" ht="17.45" customHeight="1">
      <c r="B21" s="554"/>
      <c r="C21" s="536"/>
      <c r="D21" s="536"/>
      <c r="E21" s="544"/>
      <c r="F21" s="536"/>
      <c r="G21" s="536"/>
      <c r="H21" s="508"/>
      <c r="I21" s="508"/>
      <c r="J21" s="554"/>
      <c r="K21" s="536"/>
      <c r="L21" s="536"/>
      <c r="M21" s="544"/>
      <c r="N21" s="536"/>
      <c r="O21" s="536"/>
    </row>
    <row r="22" spans="2:15" s="507" customFormat="1" ht="17.45" customHeight="1">
      <c r="B22" s="554"/>
      <c r="C22" s="536"/>
      <c r="D22" s="544"/>
      <c r="E22" s="544"/>
      <c r="F22" s="536"/>
      <c r="G22" s="536"/>
      <c r="H22" s="508"/>
      <c r="I22" s="508"/>
      <c r="J22" s="508"/>
    </row>
    <row r="23" spans="2:15" s="507" customFormat="1">
      <c r="B23" s="559"/>
      <c r="C23" s="560"/>
      <c r="D23" s="561"/>
      <c r="E23" s="561"/>
      <c r="F23" s="560"/>
      <c r="G23" s="560"/>
      <c r="H23" s="508"/>
      <c r="I23" s="508"/>
      <c r="J23" s="508"/>
    </row>
    <row r="24" spans="2:15">
      <c r="B24" s="538"/>
      <c r="C24" s="520" t="s">
        <v>572</v>
      </c>
      <c r="D24" s="521"/>
      <c r="E24" s="522" t="s">
        <v>573</v>
      </c>
      <c r="F24" s="523"/>
      <c r="G24" s="508"/>
      <c r="H24" s="508"/>
      <c r="I24" s="508"/>
      <c r="J24" s="520" t="s">
        <v>572</v>
      </c>
      <c r="K24" s="521"/>
      <c r="L24" s="522" t="s">
        <v>573</v>
      </c>
      <c r="M24" s="523"/>
    </row>
    <row r="25" spans="2:15">
      <c r="B25" s="508"/>
      <c r="E25" s="524" t="s">
        <v>615</v>
      </c>
      <c r="F25" s="524"/>
      <c r="G25" s="508"/>
      <c r="H25" s="508"/>
      <c r="I25" s="508"/>
      <c r="J25" s="508"/>
      <c r="L25" s="524" t="s">
        <v>616</v>
      </c>
      <c r="M25" s="524"/>
      <c r="N25" s="524"/>
    </row>
    <row r="26" spans="2:15">
      <c r="B26" s="508"/>
      <c r="C26" s="525" t="s">
        <v>576</v>
      </c>
      <c r="D26" s="526" t="s">
        <v>577</v>
      </c>
      <c r="E26" s="527" t="s">
        <v>578</v>
      </c>
      <c r="F26" s="527" t="s">
        <v>579</v>
      </c>
      <c r="G26" s="528"/>
      <c r="H26" s="508"/>
      <c r="I26" s="508"/>
      <c r="J26" s="529" t="s">
        <v>580</v>
      </c>
      <c r="K26" s="529" t="s">
        <v>581</v>
      </c>
      <c r="L26" s="7" t="s">
        <v>582</v>
      </c>
      <c r="M26" s="7"/>
      <c r="N26" s="7"/>
      <c r="O26" s="7"/>
    </row>
    <row r="27" spans="2:15">
      <c r="B27" s="508"/>
      <c r="C27" s="530"/>
      <c r="D27" s="531" t="s">
        <v>583</v>
      </c>
      <c r="E27" s="532" t="s">
        <v>584</v>
      </c>
      <c r="F27" s="533" t="s">
        <v>585</v>
      </c>
      <c r="G27" s="534"/>
      <c r="H27" s="508"/>
      <c r="I27" s="508"/>
      <c r="J27" s="535" t="s">
        <v>586</v>
      </c>
      <c r="K27" s="535" t="s">
        <v>587</v>
      </c>
      <c r="L27" s="536" t="s">
        <v>266</v>
      </c>
      <c r="M27" s="536" t="s">
        <v>267</v>
      </c>
      <c r="N27" s="537"/>
      <c r="O27" s="536"/>
    </row>
    <row r="28" spans="2:15">
      <c r="B28" s="538"/>
      <c r="C28" s="530"/>
      <c r="D28" s="531" t="s">
        <v>588</v>
      </c>
      <c r="E28" s="531" t="s">
        <v>589</v>
      </c>
      <c r="F28" s="539" t="s">
        <v>375</v>
      </c>
      <c r="G28" s="534"/>
      <c r="H28" s="508"/>
      <c r="I28" s="508"/>
      <c r="J28" s="540">
        <v>0.375</v>
      </c>
      <c r="K28" s="536">
        <v>1</v>
      </c>
      <c r="L28" s="541" t="s">
        <v>617</v>
      </c>
      <c r="M28" s="542" t="s">
        <v>618</v>
      </c>
      <c r="N28" s="543"/>
      <c r="O28" s="544"/>
    </row>
    <row r="29" spans="2:15">
      <c r="B29" s="508"/>
      <c r="C29" s="545"/>
      <c r="D29" s="546" t="s">
        <v>592</v>
      </c>
      <c r="E29" s="547" t="s">
        <v>376</v>
      </c>
      <c r="F29" s="548" t="s">
        <v>593</v>
      </c>
      <c r="G29" s="549"/>
      <c r="H29" s="508"/>
      <c r="I29" s="508"/>
      <c r="J29" s="540">
        <v>0.38888888888888901</v>
      </c>
      <c r="K29" s="536">
        <v>2</v>
      </c>
      <c r="L29" s="541" t="s">
        <v>619</v>
      </c>
      <c r="M29" s="541" t="s">
        <v>620</v>
      </c>
      <c r="N29" s="544"/>
      <c r="O29" s="550"/>
    </row>
    <row r="30" spans="2:15">
      <c r="B30" s="508"/>
      <c r="G30" s="508"/>
      <c r="H30" s="508"/>
      <c r="I30" s="508"/>
      <c r="J30" s="540">
        <v>0.40277777777777801</v>
      </c>
      <c r="K30" s="536">
        <v>3</v>
      </c>
      <c r="L30" s="541" t="s">
        <v>621</v>
      </c>
      <c r="M30" s="551" t="s">
        <v>622</v>
      </c>
      <c r="N30" s="544"/>
      <c r="O30" s="550"/>
    </row>
    <row r="31" spans="2:15">
      <c r="B31" s="508"/>
      <c r="G31" s="508"/>
      <c r="H31" s="508"/>
      <c r="I31" s="508"/>
      <c r="J31" s="540">
        <v>0.41666666666666702</v>
      </c>
      <c r="K31" s="529">
        <v>4</v>
      </c>
      <c r="L31" s="552" t="s">
        <v>623</v>
      </c>
      <c r="M31" s="541" t="s">
        <v>624</v>
      </c>
      <c r="N31" s="544"/>
      <c r="O31" s="550"/>
    </row>
    <row r="32" spans="2:15" ht="18">
      <c r="B32" s="553"/>
      <c r="F32" s="507"/>
      <c r="H32" s="508"/>
      <c r="I32" s="508"/>
      <c r="J32" s="554">
        <v>0.43055555555555602</v>
      </c>
      <c r="K32" s="536">
        <v>5</v>
      </c>
      <c r="L32" s="555" t="s">
        <v>625</v>
      </c>
      <c r="M32" s="551" t="s">
        <v>626</v>
      </c>
      <c r="N32" s="544"/>
      <c r="O32" s="550"/>
    </row>
    <row r="33" spans="2:16" ht="17.25" customHeight="1">
      <c r="B33" s="529" t="s">
        <v>580</v>
      </c>
      <c r="C33" s="529" t="s">
        <v>581</v>
      </c>
      <c r="D33" s="5" t="s">
        <v>582</v>
      </c>
      <c r="E33" s="5"/>
      <c r="F33" s="5"/>
      <c r="G33" s="5"/>
      <c r="H33" s="508"/>
      <c r="I33" s="508"/>
      <c r="J33" s="554">
        <v>0.44444444444444398</v>
      </c>
      <c r="K33" s="536">
        <v>6</v>
      </c>
      <c r="L33" s="541" t="s">
        <v>627</v>
      </c>
      <c r="M33" s="562" t="s">
        <v>628</v>
      </c>
      <c r="N33" s="544"/>
      <c r="O33" s="550"/>
    </row>
    <row r="34" spans="2:16" ht="15.75" customHeight="1">
      <c r="B34" s="535" t="s">
        <v>586</v>
      </c>
      <c r="C34" s="535" t="s">
        <v>587</v>
      </c>
      <c r="D34" s="536" t="s">
        <v>266</v>
      </c>
      <c r="E34" s="556" t="s">
        <v>267</v>
      </c>
      <c r="F34" s="536"/>
      <c r="G34" s="558"/>
      <c r="H34" s="508"/>
      <c r="I34" s="508"/>
      <c r="J34" s="6" t="s">
        <v>602</v>
      </c>
      <c r="K34" s="6"/>
      <c r="L34" s="6"/>
      <c r="M34" s="6"/>
      <c r="N34" s="6"/>
      <c r="O34" s="6"/>
    </row>
    <row r="35" spans="2:16" ht="15.75" customHeight="1">
      <c r="B35" s="554">
        <v>0.58333333333333304</v>
      </c>
      <c r="C35" s="536">
        <v>1</v>
      </c>
      <c r="D35" s="557" t="s">
        <v>318</v>
      </c>
      <c r="E35" s="557" t="s">
        <v>533</v>
      </c>
      <c r="F35" s="563"/>
      <c r="G35" s="544"/>
      <c r="H35" s="508"/>
      <c r="I35" s="508"/>
      <c r="J35" s="540">
        <v>0.58333333333333304</v>
      </c>
      <c r="K35" s="536">
        <v>7</v>
      </c>
      <c r="L35" s="541" t="s">
        <v>629</v>
      </c>
      <c r="M35" s="541" t="s">
        <v>630</v>
      </c>
      <c r="N35" s="544"/>
      <c r="O35" s="550"/>
    </row>
    <row r="36" spans="2:16" ht="15.75" customHeight="1">
      <c r="B36" s="554">
        <v>0.59722222222222199</v>
      </c>
      <c r="C36" s="536">
        <v>2</v>
      </c>
      <c r="D36" s="557" t="s">
        <v>350</v>
      </c>
      <c r="E36" s="557" t="s">
        <v>547</v>
      </c>
      <c r="F36" s="544"/>
      <c r="G36" s="544"/>
      <c r="H36" s="508"/>
      <c r="I36" s="508"/>
      <c r="J36" s="540">
        <v>0.59722222222222199</v>
      </c>
      <c r="K36" s="536">
        <v>8</v>
      </c>
      <c r="L36" s="4" t="s">
        <v>631</v>
      </c>
      <c r="M36" s="4"/>
      <c r="N36" s="544"/>
      <c r="O36" s="550"/>
    </row>
    <row r="37" spans="2:16" ht="15.75" customHeight="1">
      <c r="B37" s="554">
        <v>0.61111111111111105</v>
      </c>
      <c r="C37" s="536">
        <v>3</v>
      </c>
      <c r="D37" s="557" t="s">
        <v>354</v>
      </c>
      <c r="E37" s="557" t="s">
        <v>632</v>
      </c>
      <c r="F37" s="536"/>
      <c r="G37" s="536"/>
      <c r="H37" s="508"/>
      <c r="I37" s="508"/>
      <c r="J37" s="554">
        <v>0.61805555555555602</v>
      </c>
      <c r="K37" s="536">
        <v>9</v>
      </c>
      <c r="L37" s="541" t="s">
        <v>633</v>
      </c>
      <c r="M37" s="541" t="s">
        <v>634</v>
      </c>
      <c r="N37" s="536"/>
      <c r="O37" s="536"/>
    </row>
    <row r="38" spans="2:16" ht="15.75" customHeight="1">
      <c r="B38" s="554">
        <v>0.625</v>
      </c>
      <c r="C38" s="536">
        <v>4</v>
      </c>
      <c r="D38" s="557" t="s">
        <v>330</v>
      </c>
      <c r="E38" s="557" t="s">
        <v>541</v>
      </c>
      <c r="F38" s="536"/>
      <c r="G38" s="536"/>
      <c r="H38" s="508"/>
      <c r="I38" s="508"/>
      <c r="J38" s="554">
        <v>0.63194444444444398</v>
      </c>
      <c r="K38" s="536">
        <v>10</v>
      </c>
      <c r="L38" s="4" t="s">
        <v>635</v>
      </c>
      <c r="M38" s="4"/>
      <c r="N38" s="558"/>
      <c r="O38" s="536"/>
    </row>
    <row r="39" spans="2:16" ht="15.75" customHeight="1">
      <c r="B39" s="554"/>
      <c r="C39" s="536"/>
      <c r="D39" s="536"/>
      <c r="E39" s="544"/>
      <c r="F39" s="536"/>
      <c r="G39" s="536"/>
      <c r="H39" s="508"/>
      <c r="I39" s="508"/>
      <c r="J39" s="554">
        <v>0.64583333333333304</v>
      </c>
      <c r="K39" s="536">
        <v>11</v>
      </c>
      <c r="L39" s="555" t="s">
        <v>636</v>
      </c>
      <c r="M39" s="541" t="s">
        <v>637</v>
      </c>
      <c r="N39" s="558"/>
      <c r="O39" s="536"/>
    </row>
    <row r="40" spans="2:16" ht="15.75" customHeight="1">
      <c r="B40" s="554"/>
      <c r="C40" s="536"/>
      <c r="D40" s="544"/>
      <c r="E40" s="544"/>
      <c r="F40" s="536"/>
      <c r="G40" s="536"/>
      <c r="H40" s="508"/>
      <c r="I40" s="508"/>
      <c r="J40" s="554">
        <v>0.65972222222222199</v>
      </c>
      <c r="K40" s="536">
        <v>12</v>
      </c>
      <c r="L40" s="3" t="s">
        <v>638</v>
      </c>
      <c r="M40" s="3"/>
      <c r="N40" s="558"/>
      <c r="O40" s="536"/>
    </row>
    <row r="41" spans="2:16">
      <c r="B41" s="538"/>
      <c r="D41" s="382"/>
      <c r="E41" s="382"/>
      <c r="G41" s="508"/>
      <c r="H41" s="508"/>
      <c r="I41" s="508"/>
      <c r="J41" s="508"/>
      <c r="L41" s="507"/>
      <c r="M41" s="507"/>
    </row>
    <row r="42" spans="2:16">
      <c r="B42" s="508"/>
      <c r="G42" s="508"/>
      <c r="H42" s="508"/>
      <c r="I42" s="508"/>
      <c r="J42" s="508"/>
      <c r="L42" s="507"/>
      <c r="M42" s="507"/>
    </row>
    <row r="43" spans="2:16">
      <c r="B43" s="508"/>
      <c r="C43" s="520" t="s">
        <v>572</v>
      </c>
      <c r="D43" s="521"/>
      <c r="E43" s="522" t="s">
        <v>573</v>
      </c>
      <c r="F43" s="523"/>
      <c r="J43" s="520" t="s">
        <v>572</v>
      </c>
      <c r="K43" s="521"/>
      <c r="L43" s="522" t="s">
        <v>573</v>
      </c>
      <c r="M43" s="523"/>
    </row>
    <row r="44" spans="2:16">
      <c r="B44" s="508"/>
      <c r="E44" s="524" t="s">
        <v>639</v>
      </c>
      <c r="F44" s="524"/>
      <c r="G44" s="508"/>
      <c r="H44" s="508"/>
      <c r="I44" s="508"/>
      <c r="J44" s="508"/>
      <c r="L44" s="524" t="s">
        <v>640</v>
      </c>
      <c r="M44" s="524"/>
      <c r="N44" s="524"/>
    </row>
    <row r="45" spans="2:16">
      <c r="B45" s="508"/>
      <c r="C45" s="525" t="s">
        <v>576</v>
      </c>
      <c r="D45" s="526" t="s">
        <v>577</v>
      </c>
      <c r="E45" s="527" t="s">
        <v>578</v>
      </c>
      <c r="F45" s="527" t="s">
        <v>579</v>
      </c>
      <c r="G45" s="528"/>
      <c r="H45" s="508"/>
      <c r="I45" s="508"/>
      <c r="J45" s="529" t="s">
        <v>580</v>
      </c>
      <c r="K45" s="529" t="s">
        <v>581</v>
      </c>
      <c r="L45" s="7" t="s">
        <v>582</v>
      </c>
      <c r="M45" s="7"/>
      <c r="N45" s="7"/>
      <c r="O45" s="7"/>
      <c r="P45" s="564"/>
    </row>
    <row r="46" spans="2:16">
      <c r="B46" s="508"/>
      <c r="C46" s="530"/>
      <c r="D46" s="531" t="s">
        <v>583</v>
      </c>
      <c r="E46" s="532" t="s">
        <v>584</v>
      </c>
      <c r="F46" s="533" t="s">
        <v>585</v>
      </c>
      <c r="G46" s="534"/>
      <c r="H46" s="508"/>
      <c r="I46" s="508"/>
      <c r="J46" s="535" t="s">
        <v>586</v>
      </c>
      <c r="K46" s="535" t="s">
        <v>587</v>
      </c>
      <c r="L46" s="536" t="s">
        <v>266</v>
      </c>
      <c r="M46" s="536" t="s">
        <v>267</v>
      </c>
      <c r="N46" s="537"/>
      <c r="O46" s="536"/>
      <c r="P46" s="564"/>
    </row>
    <row r="47" spans="2:16">
      <c r="B47" s="538"/>
      <c r="C47" s="530"/>
      <c r="D47" s="531" t="s">
        <v>588</v>
      </c>
      <c r="E47" s="531" t="s">
        <v>589</v>
      </c>
      <c r="F47" s="539" t="s">
        <v>375</v>
      </c>
      <c r="G47" s="534"/>
      <c r="H47" s="508"/>
      <c r="I47" s="508"/>
      <c r="J47" s="540">
        <v>0.375</v>
      </c>
      <c r="K47" s="536">
        <v>1</v>
      </c>
      <c r="L47" s="555" t="s">
        <v>641</v>
      </c>
      <c r="M47" s="565"/>
      <c r="N47" s="543"/>
      <c r="O47" s="544"/>
    </row>
    <row r="48" spans="2:16">
      <c r="B48" s="508"/>
      <c r="C48" s="545"/>
      <c r="D48" s="546" t="s">
        <v>592</v>
      </c>
      <c r="E48" s="547" t="s">
        <v>376</v>
      </c>
      <c r="F48" s="548" t="s">
        <v>593</v>
      </c>
      <c r="G48" s="549"/>
      <c r="H48" s="508"/>
      <c r="I48" s="508"/>
      <c r="J48" s="540">
        <v>0.38888888888888901</v>
      </c>
      <c r="K48" s="536">
        <v>2</v>
      </c>
      <c r="L48" s="551" t="s">
        <v>642</v>
      </c>
      <c r="M48" s="550"/>
      <c r="N48" s="544"/>
      <c r="O48" s="550"/>
    </row>
    <row r="49" spans="2:17">
      <c r="B49" s="508"/>
      <c r="G49" s="508"/>
      <c r="H49" s="508"/>
      <c r="I49" s="508"/>
      <c r="J49" s="540">
        <v>0.40277777777777801</v>
      </c>
      <c r="K49" s="536">
        <v>3</v>
      </c>
      <c r="L49" s="551" t="s">
        <v>643</v>
      </c>
      <c r="M49" s="550"/>
      <c r="N49" s="544"/>
      <c r="O49" s="550"/>
      <c r="Q49" s="564"/>
    </row>
    <row r="50" spans="2:17">
      <c r="B50" s="508"/>
      <c r="G50" s="508"/>
      <c r="H50" s="508"/>
      <c r="I50" s="508"/>
      <c r="J50" s="540">
        <v>0.41666666666666702</v>
      </c>
      <c r="K50" s="529">
        <v>4</v>
      </c>
      <c r="L50" s="551" t="s">
        <v>644</v>
      </c>
      <c r="M50" s="550"/>
      <c r="N50" s="544"/>
      <c r="O50" s="550"/>
    </row>
    <row r="51" spans="2:17">
      <c r="B51" s="508"/>
      <c r="F51" s="507"/>
      <c r="H51" s="508"/>
      <c r="I51" s="508"/>
      <c r="J51" s="554">
        <v>0.43055555555555602</v>
      </c>
      <c r="K51" s="536">
        <v>5</v>
      </c>
      <c r="L51" s="551" t="s">
        <v>645</v>
      </c>
      <c r="M51" s="565"/>
      <c r="N51" s="544"/>
      <c r="O51" s="550"/>
    </row>
    <row r="52" spans="2:17">
      <c r="B52" s="529" t="s">
        <v>580</v>
      </c>
      <c r="C52" s="529" t="s">
        <v>581</v>
      </c>
      <c r="D52" s="7" t="s">
        <v>582</v>
      </c>
      <c r="E52" s="7"/>
      <c r="F52" s="7"/>
      <c r="G52" s="7"/>
      <c r="H52" s="508"/>
      <c r="I52" s="508"/>
      <c r="J52" s="554">
        <v>0.44444444444444398</v>
      </c>
      <c r="K52" s="536">
        <v>6</v>
      </c>
      <c r="L52" s="551" t="s">
        <v>646</v>
      </c>
      <c r="M52" s="536"/>
      <c r="N52" s="544"/>
      <c r="O52" s="550"/>
    </row>
    <row r="53" spans="2:17">
      <c r="B53" s="535" t="s">
        <v>586</v>
      </c>
      <c r="C53" s="535" t="s">
        <v>587</v>
      </c>
      <c r="D53" s="536" t="s">
        <v>266</v>
      </c>
      <c r="E53" s="536" t="s">
        <v>267</v>
      </c>
      <c r="F53" s="537"/>
      <c r="G53" s="536"/>
      <c r="H53" s="508"/>
      <c r="I53" s="508"/>
      <c r="J53" s="6" t="s">
        <v>602</v>
      </c>
      <c r="K53" s="6"/>
      <c r="L53" s="6"/>
      <c r="M53" s="6"/>
      <c r="N53" s="6"/>
      <c r="O53" s="6"/>
    </row>
    <row r="54" spans="2:17">
      <c r="B54" s="554">
        <v>0.58333333333333304</v>
      </c>
      <c r="C54" s="536">
        <v>1</v>
      </c>
      <c r="D54" s="541" t="s">
        <v>647</v>
      </c>
      <c r="E54" s="544"/>
      <c r="F54" s="544"/>
      <c r="G54" s="544"/>
      <c r="H54" s="508"/>
      <c r="I54" s="508"/>
      <c r="J54" s="540"/>
      <c r="K54" s="536"/>
      <c r="L54" s="544"/>
      <c r="M54" s="550"/>
      <c r="N54" s="544"/>
      <c r="O54" s="550"/>
    </row>
    <row r="55" spans="2:17">
      <c r="B55" s="554">
        <v>0.59722222222222199</v>
      </c>
      <c r="C55" s="536">
        <v>2</v>
      </c>
      <c r="D55" s="541" t="s">
        <v>648</v>
      </c>
      <c r="E55" s="544"/>
      <c r="F55" s="544"/>
      <c r="G55" s="544"/>
      <c r="H55" s="508"/>
      <c r="I55" s="508"/>
      <c r="J55" s="540"/>
      <c r="K55" s="536"/>
      <c r="L55" s="544"/>
      <c r="M55" s="550"/>
      <c r="N55" s="544"/>
      <c r="O55" s="550"/>
    </row>
    <row r="56" spans="2:17">
      <c r="B56" s="554">
        <v>0.61111111111111105</v>
      </c>
      <c r="C56" s="536">
        <v>3</v>
      </c>
      <c r="D56" s="541" t="s">
        <v>649</v>
      </c>
      <c r="E56" s="544"/>
      <c r="F56" s="536"/>
      <c r="G56" s="536"/>
      <c r="H56" s="508"/>
      <c r="I56" s="508"/>
      <c r="J56" s="554"/>
      <c r="K56" s="536"/>
      <c r="L56" s="536"/>
      <c r="M56" s="536"/>
      <c r="N56" s="536"/>
      <c r="O56" s="536"/>
    </row>
    <row r="57" spans="2:17">
      <c r="B57" s="554">
        <v>0.625</v>
      </c>
      <c r="C57" s="536">
        <v>4</v>
      </c>
      <c r="D57" s="541" t="s">
        <v>650</v>
      </c>
      <c r="E57" s="544"/>
      <c r="F57" s="536"/>
      <c r="G57" s="536"/>
      <c r="H57" s="508"/>
      <c r="I57" s="508"/>
      <c r="J57" s="554"/>
      <c r="K57" s="536"/>
      <c r="L57" s="529"/>
      <c r="M57" s="544"/>
      <c r="N57" s="536"/>
      <c r="O57" s="536"/>
    </row>
    <row r="58" spans="2:17" ht="16.5" customHeight="1">
      <c r="B58" s="554">
        <v>0.63888888888888895</v>
      </c>
      <c r="C58" s="536">
        <v>5</v>
      </c>
      <c r="D58" s="541" t="s">
        <v>651</v>
      </c>
      <c r="E58" s="544"/>
      <c r="F58" s="536"/>
      <c r="G58" s="536"/>
      <c r="H58" s="508"/>
      <c r="I58" s="508"/>
      <c r="J58" s="554"/>
      <c r="K58" s="536"/>
      <c r="L58" s="536"/>
      <c r="M58" s="550"/>
      <c r="N58" s="536"/>
      <c r="O58" s="536"/>
    </row>
    <row r="59" spans="2:17">
      <c r="B59" s="554">
        <v>0.65277777777777801</v>
      </c>
      <c r="C59" s="536">
        <v>6</v>
      </c>
      <c r="D59" s="541" t="s">
        <v>652</v>
      </c>
      <c r="E59" s="544"/>
      <c r="F59" s="536"/>
      <c r="G59" s="536"/>
      <c r="H59" s="508"/>
      <c r="I59" s="508"/>
      <c r="J59" s="554"/>
      <c r="K59" s="536"/>
      <c r="L59" s="544"/>
      <c r="M59" s="544"/>
      <c r="N59" s="536"/>
      <c r="O59" s="536"/>
    </row>
    <row r="60" spans="2:17">
      <c r="B60" s="538"/>
      <c r="D60" s="382"/>
      <c r="E60" s="382"/>
      <c r="G60" s="508"/>
      <c r="H60" s="508"/>
      <c r="I60" s="508"/>
      <c r="J60" s="508"/>
      <c r="L60" s="507"/>
      <c r="M60" s="507"/>
    </row>
    <row r="61" spans="2:17">
      <c r="B61" s="508"/>
      <c r="C61" s="520" t="s">
        <v>572</v>
      </c>
      <c r="D61" s="521"/>
      <c r="E61" s="522" t="s">
        <v>573</v>
      </c>
      <c r="F61" s="523"/>
      <c r="J61" s="520" t="s">
        <v>572</v>
      </c>
      <c r="K61" s="521"/>
      <c r="L61" s="522" t="s">
        <v>573</v>
      </c>
      <c r="M61" s="523"/>
    </row>
    <row r="62" spans="2:17">
      <c r="B62" s="508"/>
      <c r="E62" s="524" t="s">
        <v>653</v>
      </c>
      <c r="F62" s="524"/>
      <c r="G62" s="508"/>
      <c r="H62" s="508"/>
      <c r="I62" s="508"/>
      <c r="J62" s="508"/>
      <c r="L62" s="524" t="s">
        <v>654</v>
      </c>
      <c r="M62" s="524"/>
      <c r="N62" s="524"/>
    </row>
    <row r="63" spans="2:17">
      <c r="B63" s="508"/>
      <c r="C63" s="525" t="s">
        <v>576</v>
      </c>
      <c r="D63" s="526" t="s">
        <v>577</v>
      </c>
      <c r="E63" s="527" t="s">
        <v>578</v>
      </c>
      <c r="F63" s="527" t="s">
        <v>579</v>
      </c>
      <c r="G63" s="528"/>
      <c r="H63" s="508"/>
      <c r="I63" s="508"/>
      <c r="J63" s="529" t="s">
        <v>580</v>
      </c>
      <c r="K63" s="529" t="s">
        <v>581</v>
      </c>
      <c r="L63" s="7" t="s">
        <v>582</v>
      </c>
      <c r="M63" s="7"/>
      <c r="N63" s="7"/>
      <c r="O63" s="7"/>
    </row>
    <row r="64" spans="2:17">
      <c r="B64" s="508"/>
      <c r="C64" s="530"/>
      <c r="D64" s="531" t="s">
        <v>583</v>
      </c>
      <c r="E64" s="532" t="s">
        <v>584</v>
      </c>
      <c r="F64" s="533" t="s">
        <v>585</v>
      </c>
      <c r="G64" s="534"/>
      <c r="H64" s="508"/>
      <c r="I64" s="508"/>
      <c r="J64" s="535" t="s">
        <v>586</v>
      </c>
      <c r="K64" s="535" t="s">
        <v>587</v>
      </c>
      <c r="L64" s="566" t="s">
        <v>266</v>
      </c>
      <c r="M64" s="536" t="s">
        <v>267</v>
      </c>
      <c r="N64" s="567"/>
      <c r="O64" s="536"/>
    </row>
    <row r="65" spans="2:16">
      <c r="B65" s="538"/>
      <c r="C65" s="530"/>
      <c r="D65" s="531" t="s">
        <v>588</v>
      </c>
      <c r="E65" s="531" t="s">
        <v>589</v>
      </c>
      <c r="F65" s="539" t="s">
        <v>375</v>
      </c>
      <c r="G65" s="534"/>
      <c r="H65" s="508"/>
      <c r="I65" s="508"/>
      <c r="J65" s="540">
        <v>0.375</v>
      </c>
      <c r="K65" s="556">
        <v>1</v>
      </c>
      <c r="L65" s="568" t="s">
        <v>655</v>
      </c>
      <c r="M65" s="555" t="s">
        <v>656</v>
      </c>
      <c r="N65" s="569"/>
      <c r="O65" s="544"/>
    </row>
    <row r="66" spans="2:16">
      <c r="B66" s="508"/>
      <c r="C66" s="545"/>
      <c r="D66" s="546" t="s">
        <v>592</v>
      </c>
      <c r="E66" s="547" t="s">
        <v>376</v>
      </c>
      <c r="F66" s="548" t="s">
        <v>593</v>
      </c>
      <c r="G66" s="549"/>
      <c r="H66" s="508"/>
      <c r="I66" s="508"/>
      <c r="J66" s="540">
        <v>0.38888888888888901</v>
      </c>
      <c r="K66" s="556">
        <v>2</v>
      </c>
      <c r="L66" s="541" t="s">
        <v>657</v>
      </c>
      <c r="M66" s="570" t="s">
        <v>658</v>
      </c>
      <c r="N66" s="550"/>
      <c r="O66" s="550"/>
    </row>
    <row r="67" spans="2:16">
      <c r="B67" s="508"/>
      <c r="G67" s="508"/>
      <c r="H67" s="508"/>
      <c r="I67" s="508"/>
      <c r="J67" s="540">
        <v>0.40277777777777801</v>
      </c>
      <c r="K67" s="566">
        <v>3</v>
      </c>
      <c r="L67" s="541" t="s">
        <v>659</v>
      </c>
      <c r="M67" s="551" t="s">
        <v>660</v>
      </c>
      <c r="N67" s="571"/>
      <c r="O67" s="571"/>
    </row>
    <row r="68" spans="2:16">
      <c r="B68" s="508"/>
      <c r="G68" s="508"/>
      <c r="H68" s="508"/>
      <c r="I68" s="508"/>
      <c r="J68" s="540">
        <v>0.41666666666666702</v>
      </c>
      <c r="K68" s="556">
        <v>4</v>
      </c>
      <c r="L68" s="541" t="s">
        <v>661</v>
      </c>
      <c r="M68" s="541" t="s">
        <v>662</v>
      </c>
      <c r="N68" s="544"/>
      <c r="O68" s="544"/>
    </row>
    <row r="69" spans="2:16">
      <c r="B69" s="572" t="s">
        <v>572</v>
      </c>
      <c r="F69" s="507"/>
      <c r="H69" s="508"/>
      <c r="I69" s="508"/>
      <c r="J69" s="554">
        <v>0.43055555555555602</v>
      </c>
      <c r="K69" s="556">
        <v>5</v>
      </c>
      <c r="L69" s="541" t="s">
        <v>663</v>
      </c>
      <c r="M69" s="542" t="s">
        <v>664</v>
      </c>
      <c r="N69" s="543"/>
      <c r="O69" s="543"/>
    </row>
    <row r="70" spans="2:16" ht="15.75" customHeight="1">
      <c r="B70" s="529" t="s">
        <v>580</v>
      </c>
      <c r="C70" s="529" t="s">
        <v>581</v>
      </c>
      <c r="D70" s="7" t="s">
        <v>582</v>
      </c>
      <c r="E70" s="7"/>
      <c r="F70" s="7"/>
      <c r="G70" s="7"/>
      <c r="I70" s="508"/>
      <c r="J70" s="554">
        <v>0.44444444444444398</v>
      </c>
      <c r="K70" s="556">
        <v>6</v>
      </c>
      <c r="L70" s="541" t="s">
        <v>665</v>
      </c>
      <c r="M70" s="541" t="s">
        <v>666</v>
      </c>
      <c r="N70" s="544"/>
      <c r="O70" s="544"/>
    </row>
    <row r="71" spans="2:16" ht="15.75" customHeight="1">
      <c r="B71" s="535" t="s">
        <v>586</v>
      </c>
      <c r="C71" s="535" t="s">
        <v>587</v>
      </c>
      <c r="D71" s="536" t="s">
        <v>266</v>
      </c>
      <c r="E71" s="536" t="s">
        <v>267</v>
      </c>
      <c r="F71" s="537"/>
      <c r="G71" s="536"/>
      <c r="H71" s="564"/>
      <c r="I71" s="508"/>
      <c r="J71" s="6" t="s">
        <v>602</v>
      </c>
      <c r="K71" s="6"/>
      <c r="L71" s="6"/>
      <c r="M71" s="6"/>
      <c r="N71" s="6"/>
      <c r="O71" s="6"/>
    </row>
    <row r="72" spans="2:16" ht="15.75" customHeight="1">
      <c r="B72" s="554">
        <v>0.58333333333333304</v>
      </c>
      <c r="C72" s="536">
        <v>1</v>
      </c>
      <c r="D72" s="557" t="s">
        <v>667</v>
      </c>
      <c r="E72" s="557" t="s">
        <v>668</v>
      </c>
      <c r="F72" s="544"/>
      <c r="G72" s="544"/>
      <c r="H72" s="508"/>
      <c r="I72" s="508"/>
      <c r="J72" s="540">
        <v>0.58333333333333304</v>
      </c>
      <c r="K72" s="556">
        <v>5</v>
      </c>
      <c r="L72" s="557" t="s">
        <v>669</v>
      </c>
      <c r="M72" s="557" t="s">
        <v>670</v>
      </c>
      <c r="N72" s="550"/>
      <c r="O72" s="550"/>
      <c r="P72" s="553"/>
    </row>
    <row r="73" spans="2:16" ht="15.75" customHeight="1">
      <c r="B73" s="554">
        <v>0.59722222222222199</v>
      </c>
      <c r="C73" s="536">
        <v>2</v>
      </c>
      <c r="D73" s="557" t="s">
        <v>671</v>
      </c>
      <c r="E73" s="557" t="s">
        <v>672</v>
      </c>
      <c r="F73" s="544"/>
      <c r="G73" s="544"/>
      <c r="H73" s="508"/>
      <c r="I73" s="508"/>
      <c r="J73" s="540">
        <v>0.59722222222222199</v>
      </c>
      <c r="K73" s="556">
        <v>6</v>
      </c>
      <c r="L73" s="557" t="s">
        <v>673</v>
      </c>
      <c r="M73" s="557" t="s">
        <v>674</v>
      </c>
      <c r="N73" s="550"/>
      <c r="O73" s="550"/>
    </row>
    <row r="74" spans="2:16" ht="15.75" customHeight="1">
      <c r="B74" s="554">
        <v>0.61111111111111105</v>
      </c>
      <c r="C74" s="536">
        <v>3</v>
      </c>
      <c r="D74" s="557" t="s">
        <v>675</v>
      </c>
      <c r="E74" s="557" t="s">
        <v>676</v>
      </c>
      <c r="F74" s="536"/>
      <c r="G74" s="536"/>
      <c r="H74" s="508"/>
      <c r="I74" s="508"/>
      <c r="J74" s="554">
        <v>0.61111111111111105</v>
      </c>
      <c r="K74" s="556">
        <v>7</v>
      </c>
      <c r="L74" s="557" t="s">
        <v>677</v>
      </c>
      <c r="M74" s="557" t="s">
        <v>678</v>
      </c>
      <c r="N74" s="550"/>
      <c r="O74" s="550"/>
    </row>
    <row r="75" spans="2:16" ht="15.75" customHeight="1">
      <c r="B75" s="554">
        <v>0.625</v>
      </c>
      <c r="C75" s="536">
        <v>4</v>
      </c>
      <c r="D75" s="557" t="s">
        <v>679</v>
      </c>
      <c r="E75" s="557" t="s">
        <v>680</v>
      </c>
      <c r="F75" s="536"/>
      <c r="G75" s="536"/>
      <c r="H75" s="508"/>
      <c r="I75" s="508"/>
      <c r="J75" s="554">
        <v>0.625</v>
      </c>
      <c r="K75" s="556">
        <v>8</v>
      </c>
      <c r="L75" s="557" t="s">
        <v>681</v>
      </c>
      <c r="M75" s="557" t="s">
        <v>682</v>
      </c>
      <c r="N75" s="558"/>
      <c r="O75" s="536"/>
    </row>
    <row r="76" spans="2:16" s="507" customFormat="1" ht="15.75" customHeight="1">
      <c r="B76" s="554"/>
      <c r="C76" s="536"/>
      <c r="D76" s="536"/>
      <c r="E76" s="544"/>
      <c r="F76" s="536"/>
      <c r="G76" s="536"/>
      <c r="H76" s="508"/>
      <c r="I76" s="508"/>
      <c r="J76" s="508"/>
    </row>
    <row r="77" spans="2:16" s="507" customFormat="1" ht="17.25" customHeight="1">
      <c r="B77" s="554"/>
      <c r="C77" s="536"/>
      <c r="D77" s="544"/>
      <c r="E77" s="544"/>
      <c r="F77" s="536"/>
      <c r="G77" s="536"/>
      <c r="H77" s="508"/>
      <c r="I77" s="508"/>
      <c r="J77" s="508"/>
    </row>
    <row r="78" spans="2:16" s="507" customFormat="1" ht="17.25" customHeight="1">
      <c r="B78" s="559"/>
      <c r="C78" s="560"/>
      <c r="D78" s="561"/>
      <c r="E78" s="561"/>
      <c r="F78" s="560"/>
      <c r="G78" s="560"/>
      <c r="H78" s="508"/>
      <c r="I78" s="508"/>
      <c r="J78" s="508"/>
    </row>
    <row r="79" spans="2:16" s="507" customFormat="1" ht="17.25" customHeight="1">
      <c r="B79" s="559"/>
      <c r="C79" s="560"/>
      <c r="D79" s="561"/>
      <c r="E79" s="561"/>
      <c r="F79" s="560"/>
      <c r="G79" s="560"/>
      <c r="H79" s="508"/>
      <c r="I79" s="508"/>
      <c r="J79" s="508"/>
    </row>
    <row r="80" spans="2:16">
      <c r="B80" s="508"/>
      <c r="C80" s="564"/>
      <c r="L80" s="507"/>
      <c r="M80" s="507"/>
      <c r="P80" s="508"/>
    </row>
    <row r="81" spans="2:16">
      <c r="B81" s="508"/>
      <c r="E81" s="524" t="s">
        <v>683</v>
      </c>
      <c r="F81" s="524"/>
      <c r="G81" s="508"/>
      <c r="H81" s="508"/>
      <c r="I81" s="508"/>
      <c r="J81" s="508"/>
      <c r="L81" s="524" t="s">
        <v>684</v>
      </c>
      <c r="M81" s="524"/>
      <c r="N81" s="524"/>
      <c r="P81" s="508"/>
    </row>
    <row r="82" spans="2:16" ht="18" customHeight="1">
      <c r="B82" s="508"/>
      <c r="C82" s="525" t="s">
        <v>576</v>
      </c>
      <c r="D82" s="526" t="s">
        <v>577</v>
      </c>
      <c r="E82" s="527" t="s">
        <v>578</v>
      </c>
      <c r="F82" s="527" t="s">
        <v>579</v>
      </c>
      <c r="G82" s="528"/>
      <c r="H82" s="508"/>
      <c r="I82" s="508"/>
      <c r="J82" s="2" t="s">
        <v>685</v>
      </c>
      <c r="K82" s="2"/>
      <c r="L82" s="2"/>
      <c r="M82" s="2"/>
      <c r="N82" s="2"/>
      <c r="O82" s="2"/>
      <c r="P82" s="508"/>
    </row>
    <row r="83" spans="2:16" ht="17.25" customHeight="1">
      <c r="B83" s="508"/>
      <c r="C83" s="530"/>
      <c r="D83" s="531" t="s">
        <v>583</v>
      </c>
      <c r="E83" s="532" t="s">
        <v>584</v>
      </c>
      <c r="F83" s="533" t="s">
        <v>585</v>
      </c>
      <c r="G83" s="534"/>
      <c r="H83" s="508"/>
      <c r="I83" s="508"/>
      <c r="J83" s="2"/>
      <c r="K83" s="2"/>
      <c r="L83" s="2"/>
      <c r="M83" s="2"/>
      <c r="N83" s="2"/>
      <c r="O83" s="2"/>
      <c r="P83" s="508"/>
    </row>
    <row r="84" spans="2:16" ht="17.25" customHeight="1">
      <c r="B84" s="538"/>
      <c r="C84" s="530"/>
      <c r="D84" s="531" t="s">
        <v>588</v>
      </c>
      <c r="E84" s="531" t="s">
        <v>589</v>
      </c>
      <c r="F84" s="539" t="s">
        <v>375</v>
      </c>
      <c r="G84" s="534"/>
      <c r="H84" s="508"/>
      <c r="I84" s="508"/>
      <c r="J84" s="2"/>
      <c r="K84" s="2"/>
      <c r="L84" s="2"/>
      <c r="M84" s="2"/>
      <c r="N84" s="2"/>
      <c r="O84" s="2"/>
      <c r="P84" s="508"/>
    </row>
    <row r="85" spans="2:16" ht="18" customHeight="1">
      <c r="B85" s="508"/>
      <c r="C85" s="545"/>
      <c r="D85" s="546" t="s">
        <v>592</v>
      </c>
      <c r="E85" s="547" t="s">
        <v>376</v>
      </c>
      <c r="F85" s="548" t="s">
        <v>593</v>
      </c>
      <c r="G85" s="549"/>
      <c r="H85" s="508"/>
      <c r="I85" s="508"/>
      <c r="J85" s="2"/>
      <c r="K85" s="2"/>
      <c r="L85" s="2"/>
      <c r="M85" s="2"/>
      <c r="N85" s="2"/>
      <c r="O85" s="2"/>
      <c r="P85" s="508"/>
    </row>
    <row r="86" spans="2:16" ht="18" customHeight="1">
      <c r="B86" s="508"/>
      <c r="G86" s="508"/>
      <c r="H86" s="508"/>
      <c r="I86" s="508"/>
      <c r="J86" s="2"/>
      <c r="K86" s="2"/>
      <c r="L86" s="2"/>
      <c r="M86" s="2"/>
      <c r="N86" s="2"/>
      <c r="O86" s="2"/>
      <c r="P86" s="508"/>
    </row>
    <row r="87" spans="2:16" ht="17.25" customHeight="1">
      <c r="B87" s="508"/>
      <c r="G87" s="508"/>
      <c r="H87" s="508"/>
      <c r="I87" s="508"/>
      <c r="J87" s="2"/>
      <c r="K87" s="2"/>
      <c r="L87" s="2"/>
      <c r="M87" s="2"/>
      <c r="N87" s="2"/>
      <c r="O87" s="2"/>
      <c r="P87" s="508"/>
    </row>
    <row r="88" spans="2:16" ht="17.25" customHeight="1">
      <c r="B88" s="508"/>
      <c r="F88" s="507"/>
      <c r="H88" s="508"/>
      <c r="I88" s="508"/>
      <c r="J88" s="2"/>
      <c r="K88" s="2"/>
      <c r="L88" s="2"/>
      <c r="M88" s="2"/>
      <c r="N88" s="2"/>
      <c r="O88" s="2"/>
      <c r="P88" s="508"/>
    </row>
    <row r="89" spans="2:16" ht="17.25" customHeight="1">
      <c r="B89" s="2" t="s">
        <v>685</v>
      </c>
      <c r="C89" s="2"/>
      <c r="D89" s="2"/>
      <c r="E89" s="2"/>
      <c r="F89" s="2"/>
      <c r="G89" s="2"/>
      <c r="H89" s="508"/>
      <c r="I89" s="508"/>
      <c r="J89" s="2"/>
      <c r="K89" s="2"/>
      <c r="L89" s="2"/>
      <c r="M89" s="2"/>
      <c r="N89" s="2"/>
      <c r="O89" s="2"/>
      <c r="P89" s="508"/>
    </row>
    <row r="90" spans="2:16" ht="17.25" customHeight="1">
      <c r="B90" s="2"/>
      <c r="C90" s="2"/>
      <c r="D90" s="2"/>
      <c r="E90" s="2"/>
      <c r="F90" s="2"/>
      <c r="G90" s="2"/>
      <c r="H90" s="508"/>
      <c r="I90" s="508"/>
      <c r="J90" s="2"/>
      <c r="K90" s="2"/>
      <c r="L90" s="2"/>
      <c r="M90" s="2"/>
      <c r="N90" s="2"/>
      <c r="O90" s="2"/>
      <c r="P90" s="508"/>
    </row>
    <row r="91" spans="2:16" ht="17.25" customHeight="1">
      <c r="B91" s="2"/>
      <c r="C91" s="2"/>
      <c r="D91" s="2"/>
      <c r="E91" s="2"/>
      <c r="F91" s="2"/>
      <c r="G91" s="2"/>
      <c r="H91" s="508"/>
      <c r="I91" s="508"/>
      <c r="J91" s="2"/>
      <c r="K91" s="2"/>
      <c r="L91" s="2"/>
      <c r="M91" s="2"/>
      <c r="N91" s="2"/>
      <c r="O91" s="2"/>
      <c r="P91" s="508"/>
    </row>
    <row r="92" spans="2:16" ht="17.25" customHeight="1">
      <c r="B92" s="2"/>
      <c r="C92" s="2"/>
      <c r="D92" s="2"/>
      <c r="E92" s="2"/>
      <c r="F92" s="2"/>
      <c r="G92" s="2"/>
      <c r="H92" s="508"/>
      <c r="I92" s="508"/>
      <c r="J92" s="2"/>
      <c r="K92" s="2"/>
      <c r="L92" s="2"/>
      <c r="M92" s="2"/>
      <c r="N92" s="2"/>
      <c r="O92" s="2"/>
      <c r="P92" s="508"/>
    </row>
    <row r="93" spans="2:16" ht="17.25" customHeight="1">
      <c r="B93" s="2"/>
      <c r="C93" s="2"/>
      <c r="D93" s="2"/>
      <c r="E93" s="2"/>
      <c r="F93" s="2"/>
      <c r="G93" s="2"/>
      <c r="H93" s="508"/>
      <c r="I93" s="508"/>
      <c r="J93" s="2"/>
      <c r="K93" s="2"/>
      <c r="L93" s="2"/>
      <c r="M93" s="2"/>
      <c r="N93" s="2"/>
      <c r="O93" s="2"/>
      <c r="P93" s="508"/>
    </row>
    <row r="94" spans="2:16">
      <c r="B94" s="2"/>
      <c r="C94" s="2"/>
      <c r="D94" s="2"/>
      <c r="E94" s="2"/>
      <c r="F94" s="2"/>
      <c r="G94" s="2"/>
      <c r="H94" s="508"/>
      <c r="I94" s="508"/>
      <c r="J94" s="538"/>
      <c r="K94" s="508"/>
      <c r="M94" s="382"/>
      <c r="N94" s="508"/>
      <c r="O94" s="508"/>
      <c r="P94" s="508"/>
    </row>
    <row r="95" spans="2:16" s="507" customFormat="1">
      <c r="B95" s="2"/>
      <c r="C95" s="2"/>
      <c r="D95" s="2"/>
      <c r="E95" s="2"/>
      <c r="F95" s="2"/>
      <c r="G95" s="2"/>
      <c r="H95" s="508"/>
      <c r="I95" s="508"/>
      <c r="J95" s="508"/>
      <c r="P95" s="508"/>
    </row>
    <row r="96" spans="2:16" s="507" customFormat="1">
      <c r="B96" s="2"/>
      <c r="C96" s="2"/>
      <c r="D96" s="2"/>
      <c r="E96" s="2"/>
      <c r="F96" s="2"/>
      <c r="G96" s="2"/>
      <c r="H96" s="508"/>
      <c r="I96" s="508"/>
      <c r="J96" s="508"/>
      <c r="P96" s="508"/>
    </row>
    <row r="97" spans="2:16">
      <c r="C97" s="564"/>
      <c r="I97" s="382"/>
      <c r="L97" s="507"/>
      <c r="M97" s="507"/>
      <c r="P97" s="508"/>
    </row>
    <row r="98" spans="2:16">
      <c r="B98" s="508"/>
      <c r="C98" s="564"/>
      <c r="H98" s="382"/>
      <c r="L98" s="507"/>
      <c r="M98" s="507"/>
      <c r="P98" s="508"/>
    </row>
    <row r="99" spans="2:16">
      <c r="B99" s="508"/>
      <c r="E99" s="524" t="s">
        <v>686</v>
      </c>
      <c r="F99" s="524"/>
      <c r="G99" s="508"/>
      <c r="H99" s="508"/>
      <c r="I99" s="508"/>
      <c r="J99" s="508"/>
      <c r="L99" s="524" t="s">
        <v>687</v>
      </c>
      <c r="M99" s="524"/>
      <c r="N99" s="524"/>
      <c r="P99" s="508"/>
    </row>
    <row r="100" spans="2:16" ht="18" customHeight="1">
      <c r="B100" s="508"/>
      <c r="C100" s="525" t="s">
        <v>576</v>
      </c>
      <c r="D100" s="526" t="s">
        <v>577</v>
      </c>
      <c r="E100" s="527" t="s">
        <v>578</v>
      </c>
      <c r="F100" s="527" t="s">
        <v>579</v>
      </c>
      <c r="G100" s="528"/>
      <c r="H100" s="508"/>
      <c r="I100" s="508"/>
      <c r="J100" s="2" t="s">
        <v>685</v>
      </c>
      <c r="K100" s="2"/>
      <c r="L100" s="2"/>
      <c r="M100" s="2"/>
      <c r="N100" s="2"/>
      <c r="O100" s="2"/>
      <c r="P100" s="508"/>
    </row>
    <row r="101" spans="2:16" ht="17.25" customHeight="1">
      <c r="B101" s="508"/>
      <c r="C101" s="530"/>
      <c r="D101" s="531" t="s">
        <v>583</v>
      </c>
      <c r="E101" s="532" t="s">
        <v>584</v>
      </c>
      <c r="F101" s="533" t="s">
        <v>585</v>
      </c>
      <c r="G101" s="534"/>
      <c r="H101" s="508"/>
      <c r="I101" s="508"/>
      <c r="J101" s="2"/>
      <c r="K101" s="2"/>
      <c r="L101" s="2"/>
      <c r="M101" s="2"/>
      <c r="N101" s="2"/>
      <c r="O101" s="2"/>
      <c r="P101" s="508"/>
    </row>
    <row r="102" spans="2:16" ht="17.25" customHeight="1">
      <c r="B102" s="538"/>
      <c r="C102" s="530"/>
      <c r="D102" s="531" t="s">
        <v>588</v>
      </c>
      <c r="E102" s="531" t="s">
        <v>589</v>
      </c>
      <c r="F102" s="539" t="s">
        <v>375</v>
      </c>
      <c r="G102" s="534"/>
      <c r="H102" s="508"/>
      <c r="I102" s="508"/>
      <c r="J102" s="2"/>
      <c r="K102" s="2"/>
      <c r="L102" s="2"/>
      <c r="M102" s="2"/>
      <c r="N102" s="2"/>
      <c r="O102" s="2"/>
      <c r="P102" s="508"/>
    </row>
    <row r="103" spans="2:16" ht="18" customHeight="1">
      <c r="B103" s="508"/>
      <c r="C103" s="545"/>
      <c r="D103" s="546" t="s">
        <v>592</v>
      </c>
      <c r="E103" s="547" t="s">
        <v>376</v>
      </c>
      <c r="F103" s="548" t="s">
        <v>593</v>
      </c>
      <c r="G103" s="549"/>
      <c r="H103" s="508"/>
      <c r="I103" s="508"/>
      <c r="J103" s="2"/>
      <c r="K103" s="2"/>
      <c r="L103" s="2"/>
      <c r="M103" s="2"/>
      <c r="N103" s="2"/>
      <c r="O103" s="2"/>
      <c r="P103" s="508"/>
    </row>
    <row r="104" spans="2:16" ht="18" customHeight="1">
      <c r="B104" s="508"/>
      <c r="G104" s="508"/>
      <c r="H104" s="508"/>
      <c r="I104" s="508"/>
      <c r="J104" s="2"/>
      <c r="K104" s="2"/>
      <c r="L104" s="2"/>
      <c r="M104" s="2"/>
      <c r="N104" s="2"/>
      <c r="O104" s="2"/>
      <c r="P104" s="508"/>
    </row>
    <row r="105" spans="2:16" ht="17.25" customHeight="1">
      <c r="B105" s="508"/>
      <c r="G105" s="508"/>
      <c r="H105" s="508"/>
      <c r="I105" s="508"/>
      <c r="J105" s="2"/>
      <c r="K105" s="2"/>
      <c r="L105" s="2"/>
      <c r="M105" s="2"/>
      <c r="N105" s="2"/>
      <c r="O105" s="2"/>
      <c r="P105" s="508"/>
    </row>
    <row r="106" spans="2:16" ht="17.25" customHeight="1">
      <c r="B106" s="508"/>
      <c r="F106" s="507"/>
      <c r="H106" s="508"/>
      <c r="I106" s="508"/>
      <c r="J106" s="2"/>
      <c r="K106" s="2"/>
      <c r="L106" s="2"/>
      <c r="M106" s="2"/>
      <c r="N106" s="2"/>
      <c r="O106" s="2"/>
      <c r="P106" s="508"/>
    </row>
    <row r="107" spans="2:16" ht="17.25" customHeight="1">
      <c r="B107" s="2" t="s">
        <v>685</v>
      </c>
      <c r="C107" s="2"/>
      <c r="D107" s="2"/>
      <c r="E107" s="2"/>
      <c r="F107" s="2"/>
      <c r="G107" s="2"/>
      <c r="H107" s="508"/>
      <c r="I107" s="508"/>
      <c r="J107" s="2"/>
      <c r="K107" s="2"/>
      <c r="L107" s="2"/>
      <c r="M107" s="2"/>
      <c r="N107" s="2"/>
      <c r="O107" s="2"/>
      <c r="P107" s="508"/>
    </row>
    <row r="108" spans="2:16" ht="17.25" customHeight="1">
      <c r="B108" s="2"/>
      <c r="C108" s="2"/>
      <c r="D108" s="2"/>
      <c r="E108" s="2"/>
      <c r="F108" s="2"/>
      <c r="G108" s="2"/>
      <c r="H108" s="508"/>
      <c r="I108" s="508"/>
      <c r="J108" s="2"/>
      <c r="K108" s="2"/>
      <c r="L108" s="2"/>
      <c r="M108" s="2"/>
      <c r="N108" s="2"/>
      <c r="O108" s="2"/>
      <c r="P108" s="508"/>
    </row>
    <row r="109" spans="2:16" ht="17.25" customHeight="1">
      <c r="B109" s="2"/>
      <c r="C109" s="2"/>
      <c r="D109" s="2"/>
      <c r="E109" s="2"/>
      <c r="F109" s="2"/>
      <c r="G109" s="2"/>
      <c r="H109" s="508"/>
      <c r="I109" s="508"/>
      <c r="J109" s="2"/>
      <c r="K109" s="2"/>
      <c r="L109" s="2"/>
      <c r="M109" s="2"/>
      <c r="N109" s="2"/>
      <c r="O109" s="2"/>
      <c r="P109" s="508"/>
    </row>
    <row r="110" spans="2:16" ht="17.25" customHeight="1">
      <c r="B110" s="2"/>
      <c r="C110" s="2"/>
      <c r="D110" s="2"/>
      <c r="E110" s="2"/>
      <c r="F110" s="2"/>
      <c r="G110" s="2"/>
      <c r="H110" s="508"/>
      <c r="I110" s="508"/>
      <c r="J110" s="2"/>
      <c r="K110" s="2"/>
      <c r="L110" s="2"/>
      <c r="M110" s="2"/>
      <c r="N110" s="2"/>
      <c r="O110" s="2"/>
      <c r="P110" s="508"/>
    </row>
    <row r="111" spans="2:16" ht="17.25" customHeight="1">
      <c r="B111" s="2"/>
      <c r="C111" s="2"/>
      <c r="D111" s="2"/>
      <c r="E111" s="2"/>
      <c r="F111" s="2"/>
      <c r="G111" s="2"/>
      <c r="H111" s="508"/>
      <c r="I111" s="508"/>
      <c r="J111" s="2"/>
      <c r="K111" s="2"/>
      <c r="L111" s="2"/>
      <c r="M111" s="2"/>
      <c r="N111" s="2"/>
      <c r="O111" s="2"/>
      <c r="P111" s="508"/>
    </row>
    <row r="112" spans="2:16" ht="17.25" customHeight="1">
      <c r="B112" s="2"/>
      <c r="C112" s="2"/>
      <c r="D112" s="2"/>
      <c r="E112" s="2"/>
      <c r="F112" s="2"/>
      <c r="G112" s="2"/>
      <c r="H112" s="508"/>
      <c r="I112" s="508"/>
      <c r="J112" s="538"/>
      <c r="K112" s="508"/>
      <c r="M112" s="382"/>
      <c r="N112" s="508"/>
      <c r="O112" s="508"/>
      <c r="P112" s="508"/>
    </row>
    <row r="113" spans="2:16" s="507" customFormat="1" ht="17.25" customHeight="1">
      <c r="B113" s="2"/>
      <c r="C113" s="2"/>
      <c r="D113" s="2"/>
      <c r="E113" s="2"/>
      <c r="F113" s="2"/>
      <c r="G113" s="2"/>
      <c r="H113" s="508"/>
      <c r="I113" s="508"/>
      <c r="J113" s="508"/>
      <c r="P113" s="508"/>
    </row>
    <row r="114" spans="2:16" s="507" customFormat="1" ht="17.25" customHeight="1">
      <c r="B114" s="2"/>
      <c r="C114" s="2"/>
      <c r="D114" s="2"/>
      <c r="E114" s="2"/>
      <c r="F114" s="2"/>
      <c r="G114" s="2"/>
      <c r="H114" s="508"/>
      <c r="I114" s="508"/>
      <c r="J114" s="508"/>
      <c r="P114" s="508"/>
    </row>
    <row r="115" spans="2:16">
      <c r="C115" s="564"/>
      <c r="L115" s="507"/>
      <c r="M115" s="507"/>
      <c r="P115" s="508"/>
    </row>
    <row r="116" spans="2:16">
      <c r="B116" s="508"/>
      <c r="C116" s="564"/>
      <c r="H116" s="564"/>
      <c r="I116" s="508"/>
      <c r="L116" s="507"/>
      <c r="M116" s="507"/>
      <c r="P116" s="564"/>
    </row>
    <row r="117" spans="2:16" ht="17.25" customHeight="1">
      <c r="B117" s="508"/>
      <c r="E117" s="524" t="s">
        <v>688</v>
      </c>
      <c r="F117" s="524"/>
      <c r="G117" s="508"/>
      <c r="H117" s="564"/>
      <c r="I117" s="508"/>
      <c r="J117" s="508"/>
      <c r="L117" s="524" t="s">
        <v>689</v>
      </c>
      <c r="M117" s="524"/>
      <c r="N117" s="524"/>
      <c r="P117" s="564"/>
    </row>
    <row r="118" spans="2:16" ht="17.100000000000001" customHeight="1">
      <c r="B118" s="508"/>
      <c r="C118" s="525" t="s">
        <v>576</v>
      </c>
      <c r="D118" s="526" t="s">
        <v>577</v>
      </c>
      <c r="E118" s="527" t="s">
        <v>578</v>
      </c>
      <c r="F118" s="527" t="s">
        <v>579</v>
      </c>
      <c r="G118" s="528"/>
      <c r="H118" s="564"/>
      <c r="I118" s="508"/>
      <c r="J118" s="2" t="s">
        <v>685</v>
      </c>
      <c r="K118" s="2"/>
      <c r="L118" s="2"/>
      <c r="M118" s="2"/>
      <c r="N118" s="2"/>
      <c r="O118" s="2"/>
      <c r="P118" s="564"/>
    </row>
    <row r="119" spans="2:16" ht="16.5" customHeight="1">
      <c r="B119" s="508"/>
      <c r="C119" s="530"/>
      <c r="D119" s="531" t="s">
        <v>583</v>
      </c>
      <c r="E119" s="532" t="s">
        <v>584</v>
      </c>
      <c r="F119" s="533" t="s">
        <v>585</v>
      </c>
      <c r="G119" s="534"/>
      <c r="H119" s="564"/>
      <c r="I119" s="508"/>
      <c r="J119" s="2"/>
      <c r="K119" s="2"/>
      <c r="L119" s="2"/>
      <c r="M119" s="2"/>
      <c r="N119" s="2"/>
      <c r="O119" s="2"/>
      <c r="P119" s="564"/>
    </row>
    <row r="120" spans="2:16" ht="16.5" customHeight="1">
      <c r="B120" s="538"/>
      <c r="C120" s="530"/>
      <c r="D120" s="531" t="s">
        <v>588</v>
      </c>
      <c r="E120" s="531" t="s">
        <v>589</v>
      </c>
      <c r="F120" s="539" t="s">
        <v>375</v>
      </c>
      <c r="G120" s="534"/>
      <c r="H120" s="564"/>
      <c r="I120" s="508"/>
      <c r="J120" s="2"/>
      <c r="K120" s="2"/>
      <c r="L120" s="2"/>
      <c r="M120" s="2"/>
      <c r="N120" s="2"/>
      <c r="O120" s="2"/>
      <c r="P120" s="564"/>
    </row>
    <row r="121" spans="2:16" ht="17.100000000000001" customHeight="1">
      <c r="B121" s="508"/>
      <c r="C121" s="545"/>
      <c r="D121" s="546" t="s">
        <v>592</v>
      </c>
      <c r="E121" s="547" t="s">
        <v>376</v>
      </c>
      <c r="F121" s="548" t="s">
        <v>593</v>
      </c>
      <c r="G121" s="549"/>
      <c r="H121" s="564"/>
      <c r="I121" s="508"/>
      <c r="J121" s="2"/>
      <c r="K121" s="2"/>
      <c r="L121" s="2"/>
      <c r="M121" s="2"/>
      <c r="N121" s="2"/>
      <c r="O121" s="2"/>
      <c r="P121" s="564"/>
    </row>
    <row r="122" spans="2:16" ht="17.100000000000001" customHeight="1">
      <c r="B122" s="508"/>
      <c r="G122" s="508"/>
      <c r="H122" s="564"/>
      <c r="I122" s="508"/>
      <c r="J122" s="2"/>
      <c r="K122" s="2"/>
      <c r="L122" s="2"/>
      <c r="M122" s="2"/>
      <c r="N122" s="2"/>
      <c r="O122" s="2"/>
      <c r="P122" s="564"/>
    </row>
    <row r="123" spans="2:16" ht="16.5" customHeight="1">
      <c r="B123" s="508"/>
      <c r="G123" s="508"/>
      <c r="H123" s="564"/>
      <c r="I123" s="508"/>
      <c r="J123" s="2"/>
      <c r="K123" s="2"/>
      <c r="L123" s="2"/>
      <c r="M123" s="2"/>
      <c r="N123" s="2"/>
      <c r="O123" s="2"/>
      <c r="P123" s="564"/>
    </row>
    <row r="124" spans="2:16" ht="16.5" customHeight="1">
      <c r="B124" s="508"/>
      <c r="F124" s="507"/>
      <c r="H124" s="564"/>
      <c r="I124" s="508"/>
      <c r="J124" s="2"/>
      <c r="K124" s="2"/>
      <c r="L124" s="2"/>
      <c r="M124" s="2"/>
      <c r="N124" s="2"/>
      <c r="O124" s="2"/>
      <c r="P124" s="564"/>
    </row>
    <row r="125" spans="2:16" ht="17.25" customHeight="1">
      <c r="B125" s="2" t="s">
        <v>690</v>
      </c>
      <c r="C125" s="2"/>
      <c r="D125" s="2"/>
      <c r="E125" s="2"/>
      <c r="F125" s="2"/>
      <c r="G125" s="2"/>
      <c r="H125" s="564"/>
      <c r="I125" s="508"/>
      <c r="J125" s="2"/>
      <c r="K125" s="2"/>
      <c r="L125" s="2"/>
      <c r="M125" s="2"/>
      <c r="N125" s="2"/>
      <c r="O125" s="2"/>
      <c r="P125" s="564"/>
    </row>
    <row r="126" spans="2:16" ht="16.5" customHeight="1">
      <c r="B126" s="2"/>
      <c r="C126" s="2"/>
      <c r="D126" s="2"/>
      <c r="E126" s="2"/>
      <c r="F126" s="2"/>
      <c r="G126" s="2"/>
      <c r="H126" s="564"/>
      <c r="I126" s="508"/>
      <c r="J126" s="2"/>
      <c r="K126" s="2"/>
      <c r="L126" s="2"/>
      <c r="M126" s="2"/>
      <c r="N126" s="2"/>
      <c r="O126" s="2"/>
      <c r="P126" s="564"/>
    </row>
    <row r="127" spans="2:16" ht="16.5" customHeight="1">
      <c r="B127" s="2"/>
      <c r="C127" s="2"/>
      <c r="D127" s="2"/>
      <c r="E127" s="2"/>
      <c r="F127" s="2"/>
      <c r="G127" s="2"/>
      <c r="H127" s="564"/>
      <c r="I127" s="508"/>
      <c r="J127" s="2"/>
      <c r="K127" s="2"/>
      <c r="L127" s="2"/>
      <c r="M127" s="2"/>
      <c r="N127" s="2"/>
      <c r="O127" s="2"/>
      <c r="P127" s="564"/>
    </row>
    <row r="128" spans="2:16" ht="16.5" customHeight="1">
      <c r="B128" s="2"/>
      <c r="C128" s="2"/>
      <c r="D128" s="2"/>
      <c r="E128" s="2"/>
      <c r="F128" s="2"/>
      <c r="G128" s="2"/>
      <c r="H128" s="564"/>
      <c r="I128" s="508"/>
      <c r="J128" s="2"/>
      <c r="K128" s="2"/>
      <c r="L128" s="2"/>
      <c r="M128" s="2"/>
      <c r="N128" s="2"/>
      <c r="O128" s="2"/>
      <c r="P128" s="564"/>
    </row>
    <row r="129" spans="2:16" ht="16.5" customHeight="1">
      <c r="B129" s="2"/>
      <c r="C129" s="2"/>
      <c r="D129" s="2"/>
      <c r="E129" s="2"/>
      <c r="F129" s="2"/>
      <c r="G129" s="2"/>
      <c r="H129" s="564"/>
      <c r="I129" s="508"/>
      <c r="J129" s="2"/>
      <c r="K129" s="2"/>
      <c r="L129" s="2"/>
      <c r="M129" s="2"/>
      <c r="N129" s="2"/>
      <c r="O129" s="2"/>
      <c r="P129" s="564"/>
    </row>
    <row r="130" spans="2:16" ht="16.5" customHeight="1">
      <c r="B130" s="2"/>
      <c r="C130" s="2"/>
      <c r="D130" s="2"/>
      <c r="E130" s="2"/>
      <c r="F130" s="2"/>
      <c r="G130" s="2"/>
      <c r="H130" s="564"/>
      <c r="I130" s="508"/>
      <c r="J130" s="538"/>
      <c r="K130" s="508"/>
      <c r="M130" s="382"/>
      <c r="N130" s="508"/>
      <c r="O130" s="508"/>
      <c r="P130" s="564"/>
    </row>
    <row r="131" spans="2:16" s="507" customFormat="1" ht="16.5" customHeight="1">
      <c r="B131" s="2"/>
      <c r="C131" s="2"/>
      <c r="D131" s="2"/>
      <c r="E131" s="2"/>
      <c r="F131" s="2"/>
      <c r="G131" s="2"/>
      <c r="H131" s="564"/>
      <c r="I131" s="508"/>
      <c r="J131" s="508"/>
      <c r="P131" s="564"/>
    </row>
    <row r="132" spans="2:16" s="507" customFormat="1" ht="16.5" customHeight="1">
      <c r="B132" s="2"/>
      <c r="C132" s="2"/>
      <c r="D132" s="2"/>
      <c r="E132" s="2"/>
      <c r="F132" s="2"/>
      <c r="G132" s="2"/>
      <c r="H132" s="564"/>
      <c r="I132" s="508"/>
      <c r="J132" s="508"/>
      <c r="P132" s="564"/>
    </row>
    <row r="133" spans="2:16">
      <c r="C133" s="564"/>
      <c r="H133" s="564"/>
      <c r="L133" s="507"/>
      <c r="M133" s="507"/>
      <c r="P133" s="564"/>
    </row>
    <row r="134" spans="2:16">
      <c r="C134" s="564"/>
      <c r="H134" s="564"/>
      <c r="L134" s="507"/>
      <c r="M134" s="507"/>
      <c r="P134" s="564"/>
    </row>
    <row r="135" spans="2:16">
      <c r="B135" s="508"/>
      <c r="C135" s="564"/>
      <c r="H135" s="564"/>
      <c r="I135" s="508"/>
      <c r="L135" s="507"/>
      <c r="M135" s="507"/>
      <c r="P135" s="564"/>
    </row>
    <row r="136" spans="2:16" ht="17.25" customHeight="1">
      <c r="B136" s="508"/>
      <c r="E136" s="524" t="s">
        <v>691</v>
      </c>
      <c r="F136" s="524"/>
      <c r="G136" s="508"/>
      <c r="H136" s="564"/>
      <c r="I136" s="508"/>
      <c r="J136" s="508"/>
      <c r="L136" s="573" t="s">
        <v>692</v>
      </c>
      <c r="M136" s="573"/>
      <c r="N136" s="573"/>
      <c r="P136" s="564"/>
    </row>
    <row r="137" spans="2:16">
      <c r="B137" s="508"/>
      <c r="C137" s="525" t="s">
        <v>576</v>
      </c>
      <c r="D137" s="526" t="s">
        <v>577</v>
      </c>
      <c r="E137" s="527" t="s">
        <v>693</v>
      </c>
      <c r="F137" s="527" t="s">
        <v>694</v>
      </c>
      <c r="G137" s="528"/>
      <c r="H137" s="564"/>
      <c r="I137" s="508"/>
      <c r="J137" s="2" t="s">
        <v>685</v>
      </c>
      <c r="K137" s="2"/>
      <c r="L137" s="2"/>
      <c r="M137" s="2"/>
      <c r="N137" s="2"/>
      <c r="O137" s="2"/>
      <c r="P137" s="564"/>
    </row>
    <row r="138" spans="2:16">
      <c r="B138" s="508"/>
      <c r="C138" s="530"/>
      <c r="D138" s="531" t="s">
        <v>583</v>
      </c>
      <c r="E138" s="532" t="s">
        <v>584</v>
      </c>
      <c r="F138" s="533" t="s">
        <v>585</v>
      </c>
      <c r="G138" s="534"/>
      <c r="H138" s="564"/>
      <c r="I138" s="508"/>
      <c r="J138" s="2"/>
      <c r="K138" s="2"/>
      <c r="L138" s="2"/>
      <c r="M138" s="2"/>
      <c r="N138" s="2"/>
      <c r="O138" s="2"/>
      <c r="P138" s="564"/>
    </row>
    <row r="139" spans="2:16">
      <c r="B139" s="538"/>
      <c r="C139" s="530"/>
      <c r="D139" s="531" t="s">
        <v>588</v>
      </c>
      <c r="E139" s="531" t="s">
        <v>589</v>
      </c>
      <c r="F139" s="539" t="s">
        <v>375</v>
      </c>
      <c r="G139" s="534"/>
      <c r="H139" s="564"/>
      <c r="I139" s="508"/>
      <c r="J139" s="2"/>
      <c r="K139" s="2"/>
      <c r="L139" s="2"/>
      <c r="M139" s="2"/>
      <c r="N139" s="2"/>
      <c r="O139" s="2"/>
      <c r="P139" s="564"/>
    </row>
    <row r="140" spans="2:16">
      <c r="B140" s="508"/>
      <c r="C140" s="545"/>
      <c r="D140" s="546" t="s">
        <v>592</v>
      </c>
      <c r="E140" s="547" t="s">
        <v>376</v>
      </c>
      <c r="F140" s="548" t="s">
        <v>593</v>
      </c>
      <c r="G140" s="549"/>
      <c r="H140" s="564"/>
      <c r="I140" s="508"/>
      <c r="J140" s="2"/>
      <c r="K140" s="2"/>
      <c r="L140" s="2"/>
      <c r="M140" s="2"/>
      <c r="N140" s="2"/>
      <c r="O140" s="2"/>
      <c r="P140" s="564"/>
    </row>
    <row r="141" spans="2:16">
      <c r="B141" s="508"/>
      <c r="G141" s="508"/>
      <c r="H141" s="564"/>
      <c r="I141" s="508"/>
      <c r="J141" s="2"/>
      <c r="K141" s="2"/>
      <c r="L141" s="2"/>
      <c r="M141" s="2"/>
      <c r="N141" s="2"/>
      <c r="O141" s="2"/>
      <c r="P141" s="564"/>
    </row>
    <row r="142" spans="2:16" ht="16.5" customHeight="1">
      <c r="B142" s="508"/>
      <c r="G142" s="508"/>
      <c r="H142" s="564"/>
      <c r="I142" s="508"/>
      <c r="J142" s="2"/>
      <c r="K142" s="2"/>
      <c r="L142" s="2"/>
      <c r="M142" s="2"/>
      <c r="N142" s="2"/>
      <c r="O142" s="2"/>
      <c r="P142" s="564"/>
    </row>
    <row r="143" spans="2:16">
      <c r="B143" s="508"/>
      <c r="F143" s="507"/>
      <c r="H143" s="564"/>
      <c r="I143" s="508"/>
      <c r="J143" s="2"/>
      <c r="K143" s="2"/>
      <c r="L143" s="2"/>
      <c r="M143" s="2"/>
      <c r="N143" s="2"/>
      <c r="O143" s="2"/>
      <c r="P143" s="564"/>
    </row>
    <row r="144" spans="2:16" ht="17.25" customHeight="1">
      <c r="B144" s="574" t="s">
        <v>580</v>
      </c>
      <c r="C144" s="574" t="s">
        <v>581</v>
      </c>
      <c r="D144" s="1" t="s">
        <v>695</v>
      </c>
      <c r="E144" s="1"/>
      <c r="F144" s="1"/>
      <c r="G144" s="1"/>
      <c r="H144" s="564"/>
      <c r="I144" s="508"/>
      <c r="J144" s="2"/>
      <c r="K144" s="2"/>
      <c r="L144" s="2"/>
      <c r="M144" s="2"/>
      <c r="N144" s="2"/>
      <c r="O144" s="2"/>
      <c r="P144" s="564"/>
    </row>
    <row r="145" spans="2:16">
      <c r="B145" s="2" t="s">
        <v>685</v>
      </c>
      <c r="C145" s="2"/>
      <c r="D145" s="2"/>
      <c r="E145" s="2"/>
      <c r="F145" s="2"/>
      <c r="G145" s="2"/>
      <c r="H145" s="564"/>
      <c r="I145" s="508"/>
      <c r="J145" s="2"/>
      <c r="K145" s="2"/>
      <c r="L145" s="2"/>
      <c r="M145" s="2"/>
      <c r="N145" s="2"/>
      <c r="O145" s="2"/>
      <c r="P145" s="564"/>
    </row>
    <row r="146" spans="2:16">
      <c r="B146" s="2"/>
      <c r="C146" s="2"/>
      <c r="D146" s="2"/>
      <c r="E146" s="2"/>
      <c r="F146" s="2"/>
      <c r="G146" s="2"/>
      <c r="H146" s="564"/>
      <c r="I146" s="508"/>
      <c r="J146" s="2"/>
      <c r="K146" s="2"/>
      <c r="L146" s="2"/>
      <c r="M146" s="2"/>
      <c r="N146" s="2"/>
      <c r="O146" s="2"/>
      <c r="P146" s="564"/>
    </row>
    <row r="147" spans="2:16">
      <c r="B147" s="2"/>
      <c r="C147" s="2"/>
      <c r="D147" s="2"/>
      <c r="E147" s="2"/>
      <c r="F147" s="2"/>
      <c r="G147" s="2"/>
      <c r="H147" s="564"/>
      <c r="I147" s="508"/>
      <c r="J147" s="2"/>
      <c r="K147" s="2"/>
      <c r="L147" s="2"/>
      <c r="M147" s="2"/>
      <c r="N147" s="2"/>
      <c r="O147" s="2"/>
      <c r="P147" s="564"/>
    </row>
    <row r="148" spans="2:16">
      <c r="B148" s="2"/>
      <c r="C148" s="2"/>
      <c r="D148" s="2"/>
      <c r="E148" s="2"/>
      <c r="F148" s="2"/>
      <c r="G148" s="2"/>
      <c r="H148" s="564"/>
      <c r="I148" s="508"/>
      <c r="J148" s="2"/>
      <c r="K148" s="2"/>
      <c r="L148" s="2"/>
      <c r="M148" s="2"/>
      <c r="N148" s="2"/>
      <c r="O148" s="2"/>
      <c r="P148" s="564"/>
    </row>
    <row r="149" spans="2:16">
      <c r="B149" s="2"/>
      <c r="C149" s="2"/>
      <c r="D149" s="2"/>
      <c r="E149" s="2"/>
      <c r="F149" s="2"/>
      <c r="G149" s="2"/>
      <c r="H149" s="564"/>
      <c r="I149" s="508"/>
      <c r="J149" s="538"/>
      <c r="K149" s="508"/>
      <c r="M149" s="382"/>
      <c r="N149" s="508"/>
      <c r="O149" s="508"/>
      <c r="P149" s="564"/>
    </row>
    <row r="150" spans="2:16" s="507" customFormat="1">
      <c r="B150" s="2"/>
      <c r="C150" s="2"/>
      <c r="D150" s="2"/>
      <c r="E150" s="2"/>
      <c r="F150" s="2"/>
      <c r="G150" s="2"/>
      <c r="H150" s="564"/>
      <c r="I150" s="508"/>
      <c r="J150" s="508"/>
      <c r="P150" s="564"/>
    </row>
    <row r="151" spans="2:16" s="507" customFormat="1">
      <c r="B151" s="2"/>
      <c r="C151" s="2"/>
      <c r="D151" s="2"/>
      <c r="E151" s="2"/>
      <c r="F151" s="2"/>
      <c r="G151" s="2"/>
      <c r="H151" s="564"/>
      <c r="I151" s="508"/>
      <c r="J151" s="508"/>
      <c r="P151" s="564"/>
    </row>
    <row r="152" spans="2:16" s="507" customFormat="1">
      <c r="B152" s="2"/>
      <c r="C152" s="2"/>
      <c r="D152" s="2"/>
      <c r="E152" s="2"/>
      <c r="F152" s="2"/>
      <c r="G152" s="2"/>
      <c r="H152" s="564"/>
      <c r="P152" s="564"/>
    </row>
    <row r="153" spans="2:16">
      <c r="B153" s="508"/>
      <c r="C153" s="564"/>
      <c r="H153" s="564"/>
      <c r="L153" s="507"/>
      <c r="M153" s="507"/>
      <c r="P153" s="564"/>
    </row>
    <row r="154" spans="2:16" ht="17.25" customHeight="1">
      <c r="B154" s="508"/>
      <c r="E154" s="524" t="s">
        <v>696</v>
      </c>
      <c r="F154" s="524"/>
      <c r="G154" s="508"/>
      <c r="H154" s="564"/>
      <c r="I154" s="508"/>
      <c r="J154" s="508"/>
      <c r="L154" s="573" t="s">
        <v>697</v>
      </c>
      <c r="M154" s="573"/>
      <c r="N154" s="573"/>
      <c r="P154" s="564"/>
    </row>
    <row r="155" spans="2:16">
      <c r="B155" s="508"/>
      <c r="C155" s="525" t="s">
        <v>576</v>
      </c>
      <c r="D155" s="526" t="s">
        <v>577</v>
      </c>
      <c r="E155" s="527" t="s">
        <v>693</v>
      </c>
      <c r="F155" s="527" t="s">
        <v>694</v>
      </c>
      <c r="G155" s="528"/>
      <c r="H155" s="564"/>
      <c r="I155" s="508"/>
      <c r="J155" s="2" t="s">
        <v>685</v>
      </c>
      <c r="K155" s="2" t="s">
        <v>581</v>
      </c>
      <c r="L155" s="2" t="s">
        <v>698</v>
      </c>
      <c r="M155" s="2"/>
      <c r="N155" s="2"/>
      <c r="O155" s="2"/>
      <c r="P155" s="564"/>
    </row>
    <row r="156" spans="2:16">
      <c r="B156" s="508"/>
      <c r="C156" s="530"/>
      <c r="D156" s="531" t="s">
        <v>583</v>
      </c>
      <c r="E156" s="532" t="s">
        <v>584</v>
      </c>
      <c r="F156" s="533" t="s">
        <v>585</v>
      </c>
      <c r="G156" s="534"/>
      <c r="H156" s="564"/>
      <c r="I156" s="508"/>
      <c r="J156" s="2" t="s">
        <v>586</v>
      </c>
      <c r="K156" s="2" t="s">
        <v>587</v>
      </c>
      <c r="L156" s="2" t="s">
        <v>266</v>
      </c>
      <c r="M156" s="2" t="s">
        <v>267</v>
      </c>
      <c r="N156" s="2"/>
      <c r="O156" s="2"/>
      <c r="P156" s="564"/>
    </row>
    <row r="157" spans="2:16">
      <c r="B157" s="538"/>
      <c r="C157" s="530"/>
      <c r="D157" s="531" t="s">
        <v>588</v>
      </c>
      <c r="E157" s="531" t="s">
        <v>589</v>
      </c>
      <c r="F157" s="539" t="s">
        <v>375</v>
      </c>
      <c r="G157" s="534"/>
      <c r="H157" s="564"/>
      <c r="I157" s="508"/>
      <c r="J157" s="2">
        <v>0.375</v>
      </c>
      <c r="K157" s="2">
        <v>1</v>
      </c>
      <c r="L157" s="2" t="s">
        <v>531</v>
      </c>
      <c r="M157" s="2"/>
      <c r="N157" s="2"/>
      <c r="O157" s="2"/>
      <c r="P157" s="564"/>
    </row>
    <row r="158" spans="2:16">
      <c r="B158" s="508"/>
      <c r="C158" s="545"/>
      <c r="D158" s="546" t="s">
        <v>592</v>
      </c>
      <c r="E158" s="547" t="s">
        <v>376</v>
      </c>
      <c r="F158" s="548" t="s">
        <v>593</v>
      </c>
      <c r="G158" s="549"/>
      <c r="H158" s="564"/>
      <c r="I158" s="508"/>
      <c r="J158" s="2">
        <v>0.38888888888888901</v>
      </c>
      <c r="K158" s="2">
        <v>2</v>
      </c>
      <c r="L158" s="2" t="s">
        <v>534</v>
      </c>
      <c r="M158" s="2"/>
      <c r="N158" s="2"/>
      <c r="O158" s="2"/>
      <c r="P158" s="564"/>
    </row>
    <row r="159" spans="2:16">
      <c r="B159" s="508"/>
      <c r="G159" s="508"/>
      <c r="H159" s="564"/>
      <c r="I159" s="508"/>
      <c r="J159" s="2">
        <v>0.40277777777777801</v>
      </c>
      <c r="K159" s="2">
        <v>3</v>
      </c>
      <c r="L159" s="2" t="s">
        <v>543</v>
      </c>
      <c r="M159" s="2"/>
      <c r="N159" s="2"/>
      <c r="O159" s="2"/>
      <c r="P159" s="564"/>
    </row>
    <row r="160" spans="2:16" ht="16.5" customHeight="1">
      <c r="B160" s="508"/>
      <c r="G160" s="508"/>
      <c r="H160" s="564"/>
      <c r="I160" s="508"/>
      <c r="J160" s="2">
        <v>0.41666666666666702</v>
      </c>
      <c r="K160" s="2">
        <v>4</v>
      </c>
      <c r="L160" s="2" t="s">
        <v>548</v>
      </c>
      <c r="M160" s="2"/>
      <c r="N160" s="2"/>
      <c r="O160" s="2"/>
      <c r="P160" s="564"/>
    </row>
    <row r="161" spans="2:16">
      <c r="B161" s="508"/>
      <c r="F161" s="507"/>
      <c r="H161" s="564"/>
      <c r="I161" s="508"/>
      <c r="J161" s="2"/>
      <c r="K161" s="2"/>
      <c r="L161" s="2"/>
      <c r="M161" s="2"/>
      <c r="N161" s="2"/>
      <c r="O161" s="2"/>
      <c r="P161" s="564"/>
    </row>
    <row r="162" spans="2:16">
      <c r="B162" s="2" t="s">
        <v>685</v>
      </c>
      <c r="C162" s="2" t="s">
        <v>581</v>
      </c>
      <c r="D162" s="2" t="s">
        <v>698</v>
      </c>
      <c r="E162" s="2"/>
      <c r="F162" s="2"/>
      <c r="G162" s="2"/>
      <c r="H162" s="564"/>
      <c r="I162" s="508"/>
      <c r="J162" s="2"/>
      <c r="K162" s="2" t="s">
        <v>602</v>
      </c>
      <c r="L162" s="2"/>
      <c r="M162" s="2"/>
      <c r="N162" s="2"/>
      <c r="O162" s="2"/>
      <c r="P162" s="564"/>
    </row>
    <row r="163" spans="2:16">
      <c r="B163" s="2" t="s">
        <v>586</v>
      </c>
      <c r="C163" s="2" t="s">
        <v>587</v>
      </c>
      <c r="D163" s="2" t="s">
        <v>266</v>
      </c>
      <c r="E163" s="2" t="s">
        <v>267</v>
      </c>
      <c r="F163" s="2"/>
      <c r="G163" s="2"/>
      <c r="H163" s="564"/>
      <c r="I163" s="508"/>
      <c r="J163" s="2">
        <v>0.5625</v>
      </c>
      <c r="K163" s="2">
        <v>6</v>
      </c>
      <c r="L163" s="2" t="s">
        <v>326</v>
      </c>
      <c r="M163" s="2"/>
      <c r="N163" s="2"/>
      <c r="O163" s="2"/>
      <c r="P163" s="564"/>
    </row>
    <row r="164" spans="2:16">
      <c r="B164" s="2">
        <v>0.58333333333333304</v>
      </c>
      <c r="C164" s="2">
        <v>1</v>
      </c>
      <c r="D164" s="2" t="s">
        <v>310</v>
      </c>
      <c r="E164" s="2" t="s">
        <v>314</v>
      </c>
      <c r="F164" s="2"/>
      <c r="G164" s="2"/>
      <c r="H164" s="564"/>
      <c r="I164" s="508"/>
      <c r="J164" s="2">
        <v>0.57638888888888895</v>
      </c>
      <c r="K164" s="2">
        <v>7</v>
      </c>
      <c r="L164" s="2" t="s">
        <v>341</v>
      </c>
      <c r="M164" s="2"/>
      <c r="N164" s="2"/>
      <c r="O164" s="2"/>
      <c r="P164" s="564"/>
    </row>
    <row r="165" spans="2:16">
      <c r="B165" s="2">
        <v>0.59722222222222199</v>
      </c>
      <c r="C165" s="2">
        <v>2</v>
      </c>
      <c r="D165" s="2" t="s">
        <v>323</v>
      </c>
      <c r="E165" s="2" t="s">
        <v>328</v>
      </c>
      <c r="F165" s="2"/>
      <c r="G165" s="2"/>
      <c r="H165" s="564"/>
      <c r="I165" s="508"/>
      <c r="J165" s="2">
        <v>0.59027777777777801</v>
      </c>
      <c r="K165" s="2">
        <v>8</v>
      </c>
      <c r="L165" s="2" t="s">
        <v>353</v>
      </c>
      <c r="M165" s="2"/>
      <c r="N165" s="2"/>
      <c r="O165" s="2"/>
      <c r="P165" s="564"/>
    </row>
    <row r="166" spans="2:16">
      <c r="B166" s="2">
        <v>0.61111111111111105</v>
      </c>
      <c r="C166" s="2">
        <v>3</v>
      </c>
      <c r="D166" s="2" t="s">
        <v>335</v>
      </c>
      <c r="E166" s="2" t="s">
        <v>347</v>
      </c>
      <c r="F166" s="2"/>
      <c r="G166" s="2"/>
      <c r="H166" s="564"/>
      <c r="I166" s="508"/>
      <c r="J166" s="2">
        <v>0.60416666666666696</v>
      </c>
      <c r="K166" s="2">
        <v>9</v>
      </c>
      <c r="L166" s="2" t="s">
        <v>318</v>
      </c>
      <c r="M166" s="2"/>
      <c r="N166" s="2"/>
      <c r="O166" s="2"/>
      <c r="P166" s="564"/>
    </row>
    <row r="167" spans="2:16">
      <c r="B167" s="2">
        <v>0.625</v>
      </c>
      <c r="C167" s="2">
        <v>4</v>
      </c>
      <c r="D167" s="2" t="s">
        <v>351</v>
      </c>
      <c r="E167" s="2" t="s">
        <v>356</v>
      </c>
      <c r="F167" s="2"/>
      <c r="G167" s="2"/>
      <c r="H167" s="564"/>
      <c r="I167" s="508"/>
      <c r="J167" s="538"/>
      <c r="K167" s="508"/>
      <c r="M167" s="382"/>
      <c r="N167" s="508"/>
      <c r="O167" s="508"/>
      <c r="P167" s="564"/>
    </row>
    <row r="168" spans="2:16" s="507" customFormat="1">
      <c r="B168" s="2">
        <v>0.63888888888888895</v>
      </c>
      <c r="C168" s="2">
        <v>5</v>
      </c>
      <c r="D168" s="2"/>
      <c r="E168" s="2"/>
      <c r="F168" s="2"/>
      <c r="G168" s="2"/>
      <c r="H168" s="564"/>
      <c r="I168" s="508"/>
      <c r="J168" s="508"/>
      <c r="P168" s="564"/>
    </row>
    <row r="169" spans="2:16">
      <c r="B169" s="2"/>
      <c r="C169" s="2"/>
      <c r="D169" s="2"/>
      <c r="E169" s="2"/>
      <c r="F169" s="2"/>
      <c r="G169" s="2"/>
      <c r="H169" s="564"/>
      <c r="P169" s="564"/>
    </row>
    <row r="170" spans="2:16">
      <c r="H170" s="564"/>
      <c r="P170" s="564"/>
    </row>
    <row r="171" spans="2:16">
      <c r="H171" s="564"/>
      <c r="P171" s="564"/>
    </row>
    <row r="172" spans="2:16" ht="17.25" customHeight="1">
      <c r="B172" s="508"/>
      <c r="E172" s="524" t="s">
        <v>699</v>
      </c>
      <c r="F172" s="524"/>
      <c r="G172" s="508"/>
      <c r="H172" s="564"/>
      <c r="I172" s="508"/>
      <c r="J172" s="508"/>
      <c r="L172" s="573" t="s">
        <v>700</v>
      </c>
      <c r="M172" s="573"/>
      <c r="N172" s="573"/>
      <c r="P172" s="564"/>
    </row>
    <row r="173" spans="2:16">
      <c r="B173" s="508"/>
      <c r="C173" s="525" t="s">
        <v>576</v>
      </c>
      <c r="D173" s="526" t="s">
        <v>577</v>
      </c>
      <c r="E173" s="527" t="s">
        <v>693</v>
      </c>
      <c r="F173" s="527" t="s">
        <v>694</v>
      </c>
      <c r="G173" s="528"/>
      <c r="H173" s="564"/>
      <c r="I173" s="508"/>
      <c r="J173" s="2" t="s">
        <v>685</v>
      </c>
      <c r="K173" s="2"/>
      <c r="L173" s="2"/>
      <c r="M173" s="2"/>
      <c r="N173" s="2"/>
      <c r="O173" s="2"/>
      <c r="P173" s="564"/>
    </row>
    <row r="174" spans="2:16">
      <c r="B174" s="508"/>
      <c r="C174" s="530"/>
      <c r="D174" s="531" t="s">
        <v>583</v>
      </c>
      <c r="E174" s="532" t="s">
        <v>584</v>
      </c>
      <c r="F174" s="533" t="s">
        <v>585</v>
      </c>
      <c r="G174" s="534"/>
      <c r="H174" s="564"/>
      <c r="I174" s="508"/>
      <c r="J174" s="2"/>
      <c r="K174" s="2"/>
      <c r="L174" s="2"/>
      <c r="M174" s="2"/>
      <c r="N174" s="2"/>
      <c r="O174" s="2"/>
      <c r="P174" s="564"/>
    </row>
    <row r="175" spans="2:16">
      <c r="B175" s="538"/>
      <c r="C175" s="530"/>
      <c r="D175" s="531" t="s">
        <v>588</v>
      </c>
      <c r="E175" s="531" t="s">
        <v>589</v>
      </c>
      <c r="F175" s="539" t="s">
        <v>375</v>
      </c>
      <c r="G175" s="534"/>
      <c r="H175" s="564"/>
      <c r="I175" s="508"/>
      <c r="J175" s="2"/>
      <c r="K175" s="2"/>
      <c r="L175" s="2"/>
      <c r="M175" s="2"/>
      <c r="N175" s="2"/>
      <c r="O175" s="2"/>
      <c r="P175" s="564"/>
    </row>
    <row r="176" spans="2:16">
      <c r="B176" s="508"/>
      <c r="C176" s="545"/>
      <c r="D176" s="546" t="s">
        <v>592</v>
      </c>
      <c r="E176" s="547" t="s">
        <v>376</v>
      </c>
      <c r="F176" s="548" t="s">
        <v>593</v>
      </c>
      <c r="G176" s="549"/>
      <c r="H176" s="564"/>
      <c r="I176" s="508"/>
      <c r="J176" s="2"/>
      <c r="K176" s="2"/>
      <c r="L176" s="2"/>
      <c r="M176" s="2"/>
      <c r="N176" s="2"/>
      <c r="O176" s="2"/>
      <c r="P176" s="564"/>
    </row>
    <row r="177" spans="2:16">
      <c r="B177" s="508"/>
      <c r="G177" s="508"/>
      <c r="H177" s="564"/>
      <c r="I177" s="508"/>
      <c r="J177" s="2"/>
      <c r="K177" s="2"/>
      <c r="L177" s="2"/>
      <c r="M177" s="2"/>
      <c r="N177" s="2"/>
      <c r="O177" s="2"/>
      <c r="P177" s="564"/>
    </row>
    <row r="178" spans="2:16" ht="16.5" customHeight="1">
      <c r="B178" s="508"/>
      <c r="G178" s="508"/>
      <c r="H178" s="564"/>
      <c r="I178" s="508"/>
      <c r="J178" s="2"/>
      <c r="K178" s="2"/>
      <c r="L178" s="2"/>
      <c r="M178" s="2"/>
      <c r="N178" s="2"/>
      <c r="O178" s="2"/>
      <c r="P178" s="564"/>
    </row>
    <row r="179" spans="2:16">
      <c r="B179" s="508"/>
      <c r="F179" s="507"/>
      <c r="H179" s="564"/>
      <c r="I179" s="508"/>
      <c r="J179" s="2"/>
      <c r="K179" s="2"/>
      <c r="L179" s="2"/>
      <c r="M179" s="2"/>
      <c r="N179" s="2"/>
      <c r="O179" s="2"/>
      <c r="P179" s="564"/>
    </row>
    <row r="180" spans="2:16">
      <c r="B180" s="2" t="s">
        <v>685</v>
      </c>
      <c r="C180" s="2"/>
      <c r="D180" s="2"/>
      <c r="E180" s="2"/>
      <c r="F180" s="2"/>
      <c r="G180" s="2"/>
      <c r="H180" s="564"/>
      <c r="I180" s="508"/>
      <c r="J180" s="2"/>
      <c r="K180" s="2"/>
      <c r="L180" s="2"/>
      <c r="M180" s="2"/>
      <c r="N180" s="2"/>
      <c r="O180" s="2"/>
      <c r="P180" s="564"/>
    </row>
    <row r="181" spans="2:16">
      <c r="B181" s="2"/>
      <c r="C181" s="2"/>
      <c r="D181" s="2"/>
      <c r="E181" s="2"/>
      <c r="F181" s="2"/>
      <c r="G181" s="2"/>
      <c r="H181" s="564"/>
      <c r="I181" s="508"/>
      <c r="J181" s="2"/>
      <c r="K181" s="2"/>
      <c r="L181" s="2"/>
      <c r="M181" s="2"/>
      <c r="N181" s="2"/>
      <c r="O181" s="2"/>
      <c r="P181" s="564"/>
    </row>
    <row r="182" spans="2:16">
      <c r="B182" s="2"/>
      <c r="C182" s="2"/>
      <c r="D182" s="2"/>
      <c r="E182" s="2"/>
      <c r="F182" s="2"/>
      <c r="G182" s="2"/>
      <c r="H182" s="564"/>
      <c r="I182" s="508"/>
      <c r="J182" s="2"/>
      <c r="K182" s="2"/>
      <c r="L182" s="2"/>
      <c r="M182" s="2"/>
      <c r="N182" s="2"/>
      <c r="O182" s="2"/>
      <c r="P182" s="564"/>
    </row>
    <row r="183" spans="2:16">
      <c r="B183" s="2"/>
      <c r="C183" s="2"/>
      <c r="D183" s="2"/>
      <c r="E183" s="2"/>
      <c r="F183" s="2"/>
      <c r="G183" s="2"/>
      <c r="H183" s="564"/>
      <c r="I183" s="508"/>
      <c r="J183" s="2"/>
      <c r="K183" s="2"/>
      <c r="L183" s="2"/>
      <c r="M183" s="2"/>
      <c r="N183" s="2"/>
      <c r="O183" s="2"/>
      <c r="P183" s="564"/>
    </row>
    <row r="184" spans="2:16">
      <c r="B184" s="2"/>
      <c r="C184" s="2"/>
      <c r="D184" s="2"/>
      <c r="E184" s="2"/>
      <c r="F184" s="2"/>
      <c r="G184" s="2"/>
      <c r="H184" s="564"/>
      <c r="I184" s="508"/>
      <c r="J184" s="2"/>
      <c r="K184" s="2"/>
      <c r="L184" s="2"/>
      <c r="M184" s="2"/>
      <c r="N184" s="2"/>
      <c r="O184" s="2"/>
      <c r="P184" s="564"/>
    </row>
    <row r="185" spans="2:16">
      <c r="B185" s="2"/>
      <c r="C185" s="2"/>
      <c r="D185" s="2"/>
      <c r="E185" s="2"/>
      <c r="F185" s="2"/>
      <c r="G185" s="2"/>
      <c r="H185" s="564"/>
      <c r="I185" s="508"/>
      <c r="J185" s="538"/>
      <c r="K185" s="508"/>
      <c r="M185" s="382"/>
      <c r="N185" s="508"/>
      <c r="O185" s="508"/>
      <c r="P185" s="564"/>
    </row>
    <row r="186" spans="2:16" s="507" customFormat="1">
      <c r="B186" s="2"/>
      <c r="C186" s="2"/>
      <c r="D186" s="2"/>
      <c r="E186" s="2"/>
      <c r="F186" s="2"/>
      <c r="G186" s="2"/>
      <c r="H186" s="564"/>
      <c r="I186" s="508"/>
      <c r="J186" s="508"/>
      <c r="P186" s="564"/>
    </row>
    <row r="187" spans="2:16">
      <c r="B187" s="2"/>
      <c r="C187" s="2"/>
      <c r="D187" s="2"/>
      <c r="E187" s="2"/>
      <c r="F187" s="2"/>
      <c r="G187" s="2"/>
      <c r="H187" s="564"/>
      <c r="P187" s="564"/>
    </row>
    <row r="188" spans="2:16">
      <c r="H188" s="564"/>
      <c r="J188" s="520" t="s">
        <v>572</v>
      </c>
      <c r="K188" s="521"/>
      <c r="L188" s="522" t="s">
        <v>573</v>
      </c>
      <c r="M188" s="523"/>
      <c r="P188" s="564"/>
    </row>
    <row r="189" spans="2:16" ht="17.25" customHeight="1">
      <c r="B189" s="508"/>
      <c r="E189" s="524" t="s">
        <v>701</v>
      </c>
      <c r="F189" s="524"/>
      <c r="G189" s="508"/>
      <c r="H189" s="564"/>
      <c r="I189" s="508"/>
      <c r="J189" s="508"/>
      <c r="L189" s="573" t="s">
        <v>702</v>
      </c>
      <c r="M189" s="573"/>
      <c r="N189" s="573"/>
      <c r="P189" s="564"/>
    </row>
    <row r="190" spans="2:16">
      <c r="B190" s="508"/>
      <c r="C190" s="525" t="s">
        <v>576</v>
      </c>
      <c r="D190" s="526" t="s">
        <v>577</v>
      </c>
      <c r="E190" s="527" t="s">
        <v>693</v>
      </c>
      <c r="F190" s="527" t="s">
        <v>694</v>
      </c>
      <c r="G190" s="528"/>
      <c r="H190" s="564"/>
      <c r="I190" s="508"/>
      <c r="J190" s="575" t="s">
        <v>580</v>
      </c>
      <c r="K190" s="575" t="s">
        <v>581</v>
      </c>
      <c r="L190" s="1" t="s">
        <v>695</v>
      </c>
      <c r="M190" s="1"/>
      <c r="N190" s="1"/>
      <c r="O190" s="1"/>
      <c r="P190" s="564"/>
    </row>
    <row r="191" spans="2:16">
      <c r="B191" s="508"/>
      <c r="C191" s="530"/>
      <c r="D191" s="531" t="s">
        <v>583</v>
      </c>
      <c r="E191" s="532" t="s">
        <v>584</v>
      </c>
      <c r="F191" s="533" t="s">
        <v>585</v>
      </c>
      <c r="G191" s="534"/>
      <c r="H191" s="564"/>
      <c r="I191" s="508"/>
      <c r="J191" s="576" t="s">
        <v>586</v>
      </c>
      <c r="K191" s="576" t="s">
        <v>587</v>
      </c>
      <c r="L191" s="575" t="s">
        <v>266</v>
      </c>
      <c r="M191" s="575" t="s">
        <v>267</v>
      </c>
      <c r="N191" s="575"/>
      <c r="O191" s="575"/>
      <c r="P191" s="564"/>
    </row>
    <row r="192" spans="2:16">
      <c r="B192" s="538"/>
      <c r="C192" s="530"/>
      <c r="D192" s="531" t="s">
        <v>588</v>
      </c>
      <c r="E192" s="531" t="s">
        <v>589</v>
      </c>
      <c r="F192" s="539" t="s">
        <v>375</v>
      </c>
      <c r="G192" s="534"/>
      <c r="H192" s="564"/>
      <c r="I192" s="508"/>
      <c r="J192" s="577">
        <v>0.375</v>
      </c>
      <c r="K192" s="575">
        <v>1</v>
      </c>
      <c r="L192" s="541" t="s">
        <v>531</v>
      </c>
      <c r="M192" s="575"/>
      <c r="N192" s="578"/>
      <c r="O192" s="76"/>
      <c r="P192" s="564"/>
    </row>
    <row r="193" spans="2:16">
      <c r="B193" s="508"/>
      <c r="C193" s="545"/>
      <c r="D193" s="546" t="s">
        <v>592</v>
      </c>
      <c r="E193" s="547" t="s">
        <v>376</v>
      </c>
      <c r="F193" s="548" t="s">
        <v>593</v>
      </c>
      <c r="G193" s="549"/>
      <c r="H193" s="564"/>
      <c r="I193" s="508"/>
      <c r="J193" s="577">
        <v>0.38888888888888901</v>
      </c>
      <c r="K193" s="575">
        <v>2</v>
      </c>
      <c r="L193" s="541" t="s">
        <v>534</v>
      </c>
      <c r="M193" s="76"/>
      <c r="N193" s="76"/>
      <c r="O193" s="76"/>
      <c r="P193" s="564"/>
    </row>
    <row r="194" spans="2:16">
      <c r="B194" s="508"/>
      <c r="G194" s="508"/>
      <c r="H194" s="564"/>
      <c r="I194" s="508"/>
      <c r="J194" s="577">
        <v>0.40277777777777801</v>
      </c>
      <c r="K194" s="575">
        <v>3</v>
      </c>
      <c r="L194" s="541" t="s">
        <v>543</v>
      </c>
      <c r="M194" s="76"/>
      <c r="N194" s="76"/>
      <c r="O194" s="76"/>
      <c r="P194" s="564"/>
    </row>
    <row r="195" spans="2:16" ht="16.5" customHeight="1">
      <c r="B195" s="508"/>
      <c r="G195" s="508"/>
      <c r="H195" s="564"/>
      <c r="I195" s="508"/>
      <c r="J195" s="577">
        <v>0.41666666666666702</v>
      </c>
      <c r="K195" s="575">
        <v>4</v>
      </c>
      <c r="L195" s="555" t="s">
        <v>548</v>
      </c>
      <c r="M195" s="76"/>
      <c r="N195" s="76"/>
      <c r="O195" s="76"/>
      <c r="P195" s="564"/>
    </row>
    <row r="196" spans="2:16" s="507" customFormat="1">
      <c r="B196" s="520" t="s">
        <v>572</v>
      </c>
      <c r="C196" s="521"/>
      <c r="D196" s="522" t="s">
        <v>573</v>
      </c>
      <c r="E196" s="523"/>
      <c r="H196" s="564"/>
      <c r="I196" s="508"/>
      <c r="J196" s="577"/>
      <c r="K196" s="575"/>
      <c r="L196" s="575"/>
      <c r="M196" s="76"/>
      <c r="N196" s="76"/>
      <c r="O196" s="76"/>
      <c r="P196" s="564"/>
    </row>
    <row r="197" spans="2:16">
      <c r="B197" s="575" t="s">
        <v>580</v>
      </c>
      <c r="C197" s="575" t="s">
        <v>581</v>
      </c>
      <c r="D197" s="1" t="s">
        <v>695</v>
      </c>
      <c r="E197" s="1"/>
      <c r="F197" s="1"/>
      <c r="G197" s="1"/>
      <c r="H197" s="388"/>
      <c r="I197" s="508"/>
      <c r="J197" s="577"/>
      <c r="K197" s="575" t="s">
        <v>602</v>
      </c>
      <c r="L197" s="575"/>
      <c r="M197" s="575"/>
      <c r="N197" s="575"/>
      <c r="O197" s="575"/>
      <c r="P197" s="564"/>
    </row>
    <row r="198" spans="2:16">
      <c r="B198" s="576" t="s">
        <v>586</v>
      </c>
      <c r="C198" s="576" t="s">
        <v>587</v>
      </c>
      <c r="D198" s="575" t="s">
        <v>266</v>
      </c>
      <c r="E198" s="575" t="s">
        <v>267</v>
      </c>
      <c r="F198" s="575"/>
      <c r="G198" s="575"/>
      <c r="H198" s="564"/>
      <c r="I198" s="508"/>
      <c r="J198" s="577">
        <v>0.5625</v>
      </c>
      <c r="K198" s="575">
        <v>6</v>
      </c>
      <c r="L198" s="541" t="s">
        <v>312</v>
      </c>
      <c r="M198" s="575"/>
      <c r="N198" s="76"/>
      <c r="O198" s="76"/>
      <c r="P198" s="564"/>
    </row>
    <row r="199" spans="2:16">
      <c r="B199" s="577">
        <v>0.58333333333333304</v>
      </c>
      <c r="C199" s="575">
        <v>1</v>
      </c>
      <c r="D199" s="555" t="s">
        <v>310</v>
      </c>
      <c r="E199" s="555" t="s">
        <v>314</v>
      </c>
      <c r="F199" s="76"/>
      <c r="G199" s="76"/>
      <c r="H199" s="564"/>
      <c r="I199" s="508"/>
      <c r="J199" s="577">
        <v>0.57638888888888895</v>
      </c>
      <c r="K199" s="575">
        <v>7</v>
      </c>
      <c r="L199" s="541" t="s">
        <v>326</v>
      </c>
      <c r="M199" s="76"/>
      <c r="N199" s="76"/>
      <c r="O199" s="76"/>
      <c r="P199" s="564"/>
    </row>
    <row r="200" spans="2:16">
      <c r="B200" s="577">
        <v>0.59722222222222199</v>
      </c>
      <c r="C200" s="575">
        <v>2</v>
      </c>
      <c r="D200" s="555" t="s">
        <v>323</v>
      </c>
      <c r="E200" s="555" t="s">
        <v>328</v>
      </c>
      <c r="F200" s="76"/>
      <c r="G200" s="76"/>
      <c r="H200" s="564"/>
      <c r="I200" s="508"/>
      <c r="J200" s="577">
        <v>0.59027777777777801</v>
      </c>
      <c r="K200" s="575">
        <v>8</v>
      </c>
      <c r="L200" s="541" t="s">
        <v>341</v>
      </c>
      <c r="M200" s="575"/>
      <c r="N200" s="76"/>
      <c r="O200" s="76"/>
      <c r="P200" s="564"/>
    </row>
    <row r="201" spans="2:16">
      <c r="B201" s="577">
        <v>0.61111111111111105</v>
      </c>
      <c r="C201" s="575">
        <v>3</v>
      </c>
      <c r="D201" s="555" t="s">
        <v>335</v>
      </c>
      <c r="E201" s="555" t="s">
        <v>347</v>
      </c>
      <c r="F201" s="575"/>
      <c r="G201" s="575"/>
      <c r="H201" s="564"/>
      <c r="I201" s="508"/>
      <c r="J201" s="577">
        <v>0.60416666666666696</v>
      </c>
      <c r="K201" s="575">
        <v>9</v>
      </c>
      <c r="L201" s="541" t="s">
        <v>353</v>
      </c>
      <c r="M201" s="575"/>
      <c r="N201" s="575"/>
      <c r="O201" s="575"/>
      <c r="P201" s="564"/>
    </row>
    <row r="202" spans="2:16">
      <c r="B202" s="577">
        <v>0.625</v>
      </c>
      <c r="C202" s="575">
        <v>4</v>
      </c>
      <c r="D202" s="555" t="s">
        <v>351</v>
      </c>
      <c r="E202" s="555" t="s">
        <v>356</v>
      </c>
      <c r="F202" s="575"/>
      <c r="G202" s="575"/>
      <c r="H202" s="564"/>
      <c r="I202" s="508"/>
      <c r="J202" s="538"/>
      <c r="K202" s="508"/>
      <c r="M202" s="382"/>
      <c r="N202" s="508"/>
      <c r="O202" s="508"/>
      <c r="P202" s="564"/>
    </row>
    <row r="203" spans="2:16" s="507" customFormat="1">
      <c r="B203" s="577"/>
      <c r="C203" s="575"/>
      <c r="D203" s="575"/>
      <c r="E203" s="76"/>
      <c r="F203" s="575"/>
      <c r="G203" s="575"/>
      <c r="H203" s="564"/>
      <c r="I203" s="508"/>
      <c r="J203" s="508"/>
      <c r="P203" s="564"/>
    </row>
    <row r="204" spans="2:16">
      <c r="H204" s="564"/>
      <c r="P204" s="564"/>
    </row>
    <row r="205" spans="2:16">
      <c r="H205" s="564"/>
      <c r="J205" s="520" t="s">
        <v>572</v>
      </c>
      <c r="K205" s="521"/>
      <c r="L205" s="522" t="s">
        <v>573</v>
      </c>
      <c r="M205" s="523"/>
      <c r="P205" s="564"/>
    </row>
    <row r="206" spans="2:16">
      <c r="B206" s="508"/>
      <c r="E206" s="524" t="s">
        <v>703</v>
      </c>
      <c r="F206" s="524"/>
      <c r="G206" s="508"/>
      <c r="H206" s="564"/>
      <c r="I206" s="508"/>
      <c r="J206" s="508"/>
      <c r="L206" s="573" t="s">
        <v>704</v>
      </c>
      <c r="M206" s="573"/>
      <c r="N206" s="573"/>
      <c r="P206" s="564"/>
    </row>
    <row r="207" spans="2:16">
      <c r="B207" s="508"/>
      <c r="C207" s="525" t="s">
        <v>576</v>
      </c>
      <c r="D207" s="526" t="s">
        <v>577</v>
      </c>
      <c r="E207" s="527" t="s">
        <v>693</v>
      </c>
      <c r="F207" s="527" t="s">
        <v>694</v>
      </c>
      <c r="G207" s="528"/>
      <c r="H207" s="564"/>
      <c r="I207" s="508"/>
      <c r="J207" s="575" t="s">
        <v>580</v>
      </c>
      <c r="K207" s="575" t="s">
        <v>581</v>
      </c>
      <c r="L207" s="1" t="s">
        <v>705</v>
      </c>
      <c r="M207" s="1"/>
      <c r="N207" s="1"/>
      <c r="O207" s="1"/>
      <c r="P207" s="564"/>
    </row>
    <row r="208" spans="2:16">
      <c r="B208" s="508"/>
      <c r="C208" s="530"/>
      <c r="D208" s="531" t="s">
        <v>583</v>
      </c>
      <c r="E208" s="532" t="s">
        <v>584</v>
      </c>
      <c r="F208" s="533" t="s">
        <v>585</v>
      </c>
      <c r="G208" s="534"/>
      <c r="H208" s="564"/>
      <c r="I208" s="508"/>
      <c r="J208" s="576" t="s">
        <v>586</v>
      </c>
      <c r="K208" s="576" t="s">
        <v>587</v>
      </c>
      <c r="L208" s="575" t="s">
        <v>266</v>
      </c>
      <c r="M208" s="575" t="s">
        <v>267</v>
      </c>
      <c r="N208" s="575"/>
      <c r="O208" s="575"/>
      <c r="P208" s="564"/>
    </row>
    <row r="209" spans="2:16">
      <c r="B209" s="538"/>
      <c r="C209" s="530"/>
      <c r="D209" s="531" t="s">
        <v>588</v>
      </c>
      <c r="E209" s="531" t="s">
        <v>589</v>
      </c>
      <c r="F209" s="539" t="s">
        <v>375</v>
      </c>
      <c r="G209" s="534"/>
      <c r="H209" s="564"/>
      <c r="I209" s="508"/>
      <c r="J209" s="577">
        <v>0.375</v>
      </c>
      <c r="K209" s="575">
        <v>1</v>
      </c>
      <c r="L209" s="557" t="s">
        <v>706</v>
      </c>
      <c r="M209" s="575"/>
      <c r="N209" s="578"/>
      <c r="O209" s="76"/>
      <c r="P209" s="564"/>
    </row>
    <row r="210" spans="2:16">
      <c r="B210" s="508"/>
      <c r="C210" s="545"/>
      <c r="D210" s="546" t="s">
        <v>592</v>
      </c>
      <c r="E210" s="547" t="s">
        <v>376</v>
      </c>
      <c r="F210" s="548" t="s">
        <v>593</v>
      </c>
      <c r="G210" s="549"/>
      <c r="H210" s="564"/>
      <c r="I210" s="508"/>
      <c r="J210" s="577">
        <v>0.38888888888888901</v>
      </c>
      <c r="K210" s="575">
        <v>2</v>
      </c>
      <c r="L210" s="557" t="s">
        <v>707</v>
      </c>
      <c r="M210" s="76"/>
      <c r="N210" s="76"/>
      <c r="O210" s="76"/>
      <c r="P210" s="564"/>
    </row>
    <row r="211" spans="2:16">
      <c r="B211" s="508"/>
      <c r="G211" s="508"/>
      <c r="H211" s="564"/>
      <c r="I211" s="508"/>
      <c r="J211" s="577">
        <v>0.40277777777777801</v>
      </c>
      <c r="K211" s="575">
        <v>3</v>
      </c>
      <c r="L211" s="557" t="s">
        <v>576</v>
      </c>
      <c r="M211" s="76"/>
      <c r="N211" s="76"/>
      <c r="O211" s="76"/>
      <c r="P211" s="564"/>
    </row>
    <row r="212" spans="2:16">
      <c r="B212" s="508"/>
      <c r="G212" s="508"/>
      <c r="H212" s="564"/>
      <c r="I212" s="508"/>
      <c r="J212" s="577">
        <v>0.41666666666666702</v>
      </c>
      <c r="K212" s="575">
        <v>4</v>
      </c>
      <c r="L212" s="579" t="s">
        <v>708</v>
      </c>
      <c r="M212" s="76"/>
      <c r="N212" s="76"/>
      <c r="O212" s="76"/>
      <c r="P212" s="564"/>
    </row>
    <row r="213" spans="2:16" s="507" customFormat="1">
      <c r="B213" s="520" t="s">
        <v>572</v>
      </c>
      <c r="C213" s="521"/>
      <c r="D213" s="522" t="s">
        <v>573</v>
      </c>
      <c r="E213" s="523"/>
      <c r="H213" s="564"/>
      <c r="I213" s="508"/>
      <c r="J213" s="577"/>
      <c r="K213" s="575"/>
      <c r="L213" s="575"/>
      <c r="M213" s="76"/>
      <c r="N213" s="76"/>
      <c r="O213" s="76"/>
      <c r="P213" s="564"/>
    </row>
    <row r="214" spans="2:16">
      <c r="B214" s="575" t="s">
        <v>580</v>
      </c>
      <c r="C214" s="575" t="s">
        <v>581</v>
      </c>
      <c r="D214" s="1" t="s">
        <v>695</v>
      </c>
      <c r="E214" s="1"/>
      <c r="F214" s="1"/>
      <c r="G214" s="1"/>
      <c r="H214" s="564"/>
      <c r="I214" s="508"/>
      <c r="J214" s="577"/>
      <c r="K214" s="575" t="s">
        <v>602</v>
      </c>
      <c r="L214" s="575"/>
      <c r="M214" s="575"/>
      <c r="N214" s="575"/>
      <c r="O214" s="575"/>
      <c r="P214" s="564"/>
    </row>
    <row r="215" spans="2:16">
      <c r="B215" s="576" t="s">
        <v>586</v>
      </c>
      <c r="C215" s="576" t="s">
        <v>587</v>
      </c>
      <c r="D215" s="575" t="s">
        <v>266</v>
      </c>
      <c r="E215" s="575" t="s">
        <v>267</v>
      </c>
      <c r="F215" s="575"/>
      <c r="G215" s="575"/>
      <c r="H215" s="564"/>
      <c r="I215" s="508"/>
      <c r="J215" s="577">
        <v>0.58333333333333304</v>
      </c>
      <c r="K215" s="575">
        <v>6</v>
      </c>
      <c r="L215" s="557" t="s">
        <v>709</v>
      </c>
      <c r="M215" s="575"/>
      <c r="N215" s="76"/>
      <c r="O215" s="76"/>
      <c r="P215" s="564"/>
    </row>
    <row r="216" spans="2:16">
      <c r="B216" s="577">
        <v>0.58333333333333304</v>
      </c>
      <c r="C216" s="575">
        <v>1</v>
      </c>
      <c r="D216" s="555" t="s">
        <v>318</v>
      </c>
      <c r="E216" s="555" t="s">
        <v>533</v>
      </c>
      <c r="F216" s="76"/>
      <c r="G216" s="76"/>
      <c r="H216" s="564"/>
      <c r="I216" s="508"/>
      <c r="J216" s="577">
        <v>0.59722222222222199</v>
      </c>
      <c r="K216" s="575">
        <v>7</v>
      </c>
      <c r="L216" s="557" t="s">
        <v>710</v>
      </c>
      <c r="M216" s="76"/>
      <c r="N216" s="76"/>
      <c r="O216" s="76"/>
      <c r="P216" s="564"/>
    </row>
    <row r="217" spans="2:16">
      <c r="B217" s="577">
        <v>0.59722222222222199</v>
      </c>
      <c r="C217" s="575">
        <v>2</v>
      </c>
      <c r="D217" s="555" t="s">
        <v>350</v>
      </c>
      <c r="E217" s="555" t="s">
        <v>547</v>
      </c>
      <c r="F217" s="76"/>
      <c r="G217" s="76"/>
      <c r="H217" s="564"/>
      <c r="I217" s="508"/>
      <c r="J217" s="577">
        <v>0.61111111111111105</v>
      </c>
      <c r="K217" s="575">
        <v>8</v>
      </c>
      <c r="L217" s="557" t="s">
        <v>550</v>
      </c>
      <c r="M217" s="575"/>
      <c r="N217" s="76"/>
      <c r="O217" s="76"/>
      <c r="P217" s="564"/>
    </row>
    <row r="218" spans="2:16">
      <c r="B218" s="577">
        <v>0.61111111111111105</v>
      </c>
      <c r="C218" s="575">
        <v>3</v>
      </c>
      <c r="D218" s="555" t="s">
        <v>354</v>
      </c>
      <c r="E218" s="555" t="s">
        <v>632</v>
      </c>
      <c r="F218" s="575"/>
      <c r="G218" s="575"/>
      <c r="H218" s="564"/>
      <c r="I218" s="508"/>
      <c r="J218" s="577">
        <v>0.625</v>
      </c>
      <c r="K218" s="575">
        <v>9</v>
      </c>
      <c r="L218" s="579" t="s">
        <v>711</v>
      </c>
      <c r="M218" s="575"/>
      <c r="N218" s="575"/>
      <c r="O218" s="575"/>
      <c r="P218" s="564"/>
    </row>
    <row r="219" spans="2:16">
      <c r="B219" s="577">
        <v>0.625</v>
      </c>
      <c r="C219" s="575">
        <v>4</v>
      </c>
      <c r="D219" s="555" t="s">
        <v>330</v>
      </c>
      <c r="E219" s="555" t="s">
        <v>541</v>
      </c>
      <c r="F219" s="575"/>
      <c r="G219" s="575"/>
      <c r="H219" s="564"/>
      <c r="I219" s="508"/>
      <c r="J219" s="538"/>
      <c r="K219" s="508"/>
      <c r="M219" s="382"/>
      <c r="N219" s="508"/>
      <c r="O219" s="508"/>
      <c r="P219" s="564"/>
    </row>
    <row r="220" spans="2:16" s="507" customFormat="1">
      <c r="B220" s="577"/>
      <c r="C220" s="575"/>
      <c r="D220" s="575"/>
      <c r="E220" s="76"/>
      <c r="F220" s="575"/>
      <c r="G220" s="575"/>
      <c r="H220" s="564"/>
      <c r="I220" s="508"/>
      <c r="J220" s="508"/>
      <c r="P220" s="564"/>
    </row>
    <row r="221" spans="2:16">
      <c r="H221" s="564"/>
      <c r="P221" s="564"/>
    </row>
    <row r="222" spans="2:16" s="507" customFormat="1" ht="17.25" customHeight="1">
      <c r="B222" s="559"/>
      <c r="C222" s="560"/>
      <c r="D222" s="561"/>
      <c r="E222" s="561"/>
      <c r="F222" s="560"/>
      <c r="G222" s="560"/>
      <c r="H222" s="508"/>
      <c r="I222" s="508"/>
      <c r="J222" s="508"/>
    </row>
  </sheetData>
  <mergeCells count="32">
    <mergeCell ref="D214:G214"/>
    <mergeCell ref="J173:O184"/>
    <mergeCell ref="B180:G187"/>
    <mergeCell ref="L190:O190"/>
    <mergeCell ref="D197:G197"/>
    <mergeCell ref="L207:O207"/>
    <mergeCell ref="J137:O148"/>
    <mergeCell ref="D144:G144"/>
    <mergeCell ref="B145:G152"/>
    <mergeCell ref="J155:O166"/>
    <mergeCell ref="B162:G169"/>
    <mergeCell ref="J82:O93"/>
    <mergeCell ref="B89:G96"/>
    <mergeCell ref="J100:O111"/>
    <mergeCell ref="B107:G114"/>
    <mergeCell ref="J118:O129"/>
    <mergeCell ref="B125:G132"/>
    <mergeCell ref="D52:G52"/>
    <mergeCell ref="J53:O53"/>
    <mergeCell ref="L63:O63"/>
    <mergeCell ref="D70:G70"/>
    <mergeCell ref="J71:O71"/>
    <mergeCell ref="J34:O34"/>
    <mergeCell ref="L36:M36"/>
    <mergeCell ref="L38:M38"/>
    <mergeCell ref="L40:M40"/>
    <mergeCell ref="L45:O45"/>
    <mergeCell ref="L8:O8"/>
    <mergeCell ref="D15:G15"/>
    <mergeCell ref="J15:O15"/>
    <mergeCell ref="L26:O26"/>
    <mergeCell ref="D33:G33"/>
  </mergeCells>
  <pageMargins left="0.7" right="0.7" top="0.75" bottom="0.75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10</vt:i4>
      </vt:variant>
    </vt:vector>
  </HeadingPairs>
  <TitlesOfParts>
    <vt:vector size="18" baseType="lpstr">
      <vt:lpstr>須知</vt:lpstr>
      <vt:lpstr>MD</vt:lpstr>
      <vt:lpstr>MBFormat</vt:lpstr>
      <vt:lpstr>男乙賽程</vt:lpstr>
      <vt:lpstr>WD</vt:lpstr>
      <vt:lpstr>WBFormat</vt:lpstr>
      <vt:lpstr>女乙賽程</vt:lpstr>
      <vt:lpstr>TT</vt:lpstr>
      <vt:lpstr>MD!Excel_BuiltIn__FilterDatabase</vt:lpstr>
      <vt:lpstr>WD!Excel_BuiltIn__FilterDatabase</vt:lpstr>
      <vt:lpstr>Excel_BuiltIn__FilterDatabase</vt:lpstr>
      <vt:lpstr>MBFormat!Excel_BuiltIn_Print_Area</vt:lpstr>
      <vt:lpstr>MD!Print_Area</vt:lpstr>
      <vt:lpstr>WBFormat!Print_Area</vt:lpstr>
      <vt:lpstr>WD!Print_Area</vt:lpstr>
      <vt:lpstr>女乙賽程!Print_Area</vt:lpstr>
      <vt:lpstr>男乙賽程!Print_Area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Ronson</dc:creator>
  <dc:description/>
  <cp:lastModifiedBy>Marcus Kwok</cp:lastModifiedBy>
  <cp:revision>8</cp:revision>
  <cp:lastPrinted>2019-07-10T02:43:46Z</cp:lastPrinted>
  <dcterms:created xsi:type="dcterms:W3CDTF">2018-07-09T03:28:05Z</dcterms:created>
  <dcterms:modified xsi:type="dcterms:W3CDTF">2019-09-23T02:33:11Z</dcterms:modified>
  <dc:language>zh-HK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