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/>
  <mc:AlternateContent xmlns:mc="http://schemas.openxmlformats.org/markup-compatibility/2006">
    <mc:Choice Requires="x15">
      <x15ac:absPath xmlns:x15ac="http://schemas.microsoft.com/office/spreadsheetml/2010/11/ac" url="D:\VBAHK\"/>
    </mc:Choice>
  </mc:AlternateContent>
  <xr:revisionPtr revIDLastSave="0" documentId="13_ncr:1_{C05A1AAE-8767-4651-9D3B-88A0FD086C7E}" xr6:coauthVersionLast="43" xr6:coauthVersionMax="43" xr10:uidLastSave="{00000000-0000-0000-0000-000000000000}"/>
  <bookViews>
    <workbookView xWindow="-120" yWindow="-120" windowWidth="29040" windowHeight="15840" tabRatio="733" activeTab="4" xr2:uid="{00000000-000D-0000-FFFF-FFFF00000000}"/>
  </bookViews>
  <sheets>
    <sheet name="須知" sheetId="1" r:id="rId1"/>
    <sheet name="MD" sheetId="2" r:id="rId2"/>
    <sheet name="MAFormat" sheetId="3" r:id="rId3"/>
    <sheet name="男甲賽程" sheetId="4" r:id="rId4"/>
    <sheet name="MBFormat" sheetId="5" r:id="rId5"/>
    <sheet name="男乙賽程" sheetId="6" r:id="rId6"/>
    <sheet name="WD" sheetId="7" r:id="rId7"/>
    <sheet name="WAFormat" sheetId="8" r:id="rId8"/>
    <sheet name="女甲賽程" sheetId="9" r:id="rId9"/>
    <sheet name="WBFormat" sheetId="10" r:id="rId10"/>
    <sheet name="女乙賽程" sheetId="11" r:id="rId11"/>
    <sheet name="TT" sheetId="14" r:id="rId12"/>
  </sheets>
  <definedNames>
    <definedName name="_xlnm._FilterDatabase" localSheetId="1" hidden="1">MD!$B$5:$P$5</definedName>
    <definedName name="_xlnm._FilterDatabase" localSheetId="6" hidden="1">WD!$A$5:$S$5</definedName>
    <definedName name="Excel_BuiltIn__FilterDatabase">WD!$A$5:$U$5</definedName>
    <definedName name="_xlnm.Print_Area" localSheetId="2">MAFormat!$B$1:$F$45</definedName>
    <definedName name="_xlnm.Print_Area" localSheetId="4">MBFormat!$A$1:$N$114</definedName>
    <definedName name="_xlnm.Print_Area" localSheetId="1">MD!$B$1:$O$103</definedName>
    <definedName name="_xlnm.Print_Area" localSheetId="7">WAFormat!$B$1:$H$49</definedName>
    <definedName name="_xlnm.Print_Area" localSheetId="9">WBFormat!$B$1:$L$74</definedName>
    <definedName name="_xlnm.Print_Area" localSheetId="6">WD!$A$1:$O$72</definedName>
    <definedName name="_xlnm.Print_Area" localSheetId="10">女乙賽程!$A$1:$O$41</definedName>
    <definedName name="_xlnm.Print_Area" localSheetId="8">女甲賽程!$B$1:$O$55</definedName>
    <definedName name="_xlnm.Print_Area" localSheetId="5">男乙賽程!$A$1:$O$55</definedName>
    <definedName name="_xlnm.Print_Area" localSheetId="3">男甲賽程!$A$1:$O$55</definedName>
    <definedName name="_xlnm.Print_Area" localSheetId="0">須知!$A$1:$B$55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6" i="5" l="1"/>
  <c r="M25" i="6"/>
  <c r="L25" i="6"/>
  <c r="M26" i="6"/>
  <c r="L26" i="6"/>
  <c r="M29" i="6"/>
  <c r="L29" i="6"/>
  <c r="M37" i="6"/>
  <c r="L37" i="6"/>
  <c r="M38" i="6"/>
  <c r="L38" i="6"/>
  <c r="M41" i="6"/>
  <c r="L41" i="6"/>
  <c r="L17" i="9"/>
  <c r="S17" i="9"/>
  <c r="U10" i="4"/>
  <c r="U8" i="4"/>
  <c r="U11" i="4"/>
  <c r="U13" i="4"/>
  <c r="M29" i="4"/>
  <c r="L29" i="4"/>
  <c r="M28" i="4"/>
  <c r="L28" i="4"/>
  <c r="R23" i="4"/>
  <c r="M27" i="4"/>
  <c r="L27" i="4"/>
  <c r="M26" i="4"/>
  <c r="L26" i="4"/>
  <c r="M25" i="4"/>
  <c r="L25" i="4"/>
  <c r="M24" i="4"/>
  <c r="L24" i="4"/>
  <c r="M23" i="4"/>
  <c r="L23" i="4"/>
  <c r="L22" i="4"/>
  <c r="M22" i="4"/>
  <c r="U7" i="9"/>
  <c r="R21" i="9"/>
  <c r="M17" i="9"/>
  <c r="M16" i="9"/>
  <c r="L16" i="9"/>
  <c r="M14" i="9"/>
  <c r="R18" i="9" s="1"/>
  <c r="L14" i="9"/>
  <c r="M13" i="9"/>
  <c r="R22" i="9" s="1"/>
  <c r="T22" i="9" s="1"/>
  <c r="L13" i="9"/>
  <c r="M12" i="9"/>
  <c r="L12" i="9"/>
  <c r="R19" i="9" s="1"/>
  <c r="M11" i="9"/>
  <c r="L11" i="9"/>
  <c r="M10" i="9"/>
  <c r="L10" i="9"/>
  <c r="S21" i="9" s="1"/>
  <c r="T21" i="9" s="1"/>
  <c r="M6" i="4"/>
  <c r="S18" i="4" s="1"/>
  <c r="U6" i="4"/>
  <c r="U9" i="4"/>
  <c r="U1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7" i="6"/>
  <c r="L17" i="6"/>
  <c r="M16" i="6"/>
  <c r="L16" i="6"/>
  <c r="M15" i="6"/>
  <c r="L15" i="6"/>
  <c r="M14" i="6"/>
  <c r="L14" i="6"/>
  <c r="M13" i="6"/>
  <c r="L13" i="6"/>
  <c r="M12" i="6"/>
  <c r="L12" i="6"/>
  <c r="M8" i="6"/>
  <c r="L8" i="6"/>
  <c r="L8" i="4"/>
  <c r="R16" i="4" s="1"/>
  <c r="M13" i="4"/>
  <c r="L13" i="4"/>
  <c r="M12" i="4"/>
  <c r="S20" i="4" s="1"/>
  <c r="L12" i="4"/>
  <c r="S19" i="4" s="1"/>
  <c r="M11" i="4"/>
  <c r="L11" i="4"/>
  <c r="M10" i="4"/>
  <c r="L10" i="4"/>
  <c r="R17" i="4" s="1"/>
  <c r="M9" i="4"/>
  <c r="L9" i="4"/>
  <c r="R20" i="4" s="1"/>
  <c r="T20" i="4" s="1"/>
  <c r="M8" i="4"/>
  <c r="R21" i="4" s="1"/>
  <c r="M7" i="4"/>
  <c r="R22" i="4" s="1"/>
  <c r="L7" i="4"/>
  <c r="R19" i="4" s="1"/>
  <c r="L6" i="4"/>
  <c r="S23" i="4" s="1"/>
  <c r="T23" i="4" s="1"/>
  <c r="M22" i="9"/>
  <c r="L22" i="9"/>
  <c r="S19" i="9" s="1"/>
  <c r="M8" i="9"/>
  <c r="R20" i="9" s="1"/>
  <c r="L8" i="9"/>
  <c r="R15" i="9" s="1"/>
  <c r="M9" i="9"/>
  <c r="L9" i="9"/>
  <c r="S16" i="9" s="1"/>
  <c r="L6" i="9"/>
  <c r="S22" i="9" s="1"/>
  <c r="M32" i="11"/>
  <c r="L32" i="11"/>
  <c r="M22" i="6"/>
  <c r="L22" i="6"/>
  <c r="M20" i="6"/>
  <c r="L20" i="6"/>
  <c r="M18" i="6"/>
  <c r="L18" i="6"/>
  <c r="M50" i="6"/>
  <c r="L50" i="6"/>
  <c r="M48" i="6"/>
  <c r="L48" i="6"/>
  <c r="M43" i="6"/>
  <c r="L43" i="6"/>
  <c r="C74" i="10"/>
  <c r="C40" i="10" s="1"/>
  <c r="C72" i="10"/>
  <c r="C47" i="10" s="1"/>
  <c r="F48" i="10" s="1"/>
  <c r="H46" i="10" s="1"/>
  <c r="E44" i="10"/>
  <c r="E32" i="10"/>
  <c r="H34" i="10" s="1"/>
  <c r="J33" i="10" s="1"/>
  <c r="C28" i="10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28" i="7"/>
  <c r="Q29" i="7"/>
  <c r="Q30" i="7"/>
  <c r="Q31" i="7"/>
  <c r="Q32" i="7"/>
  <c r="Q6" i="7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6" i="2"/>
  <c r="M35" i="6"/>
  <c r="L35" i="6"/>
  <c r="M33" i="6"/>
  <c r="L33" i="6"/>
  <c r="M30" i="6"/>
  <c r="L30" i="6"/>
  <c r="C75" i="10"/>
  <c r="C51" i="10" s="1"/>
  <c r="C73" i="10"/>
  <c r="C24" i="10" s="1"/>
  <c r="F25" i="10" s="1"/>
  <c r="C70" i="10"/>
  <c r="C36" i="10" s="1"/>
  <c r="C69" i="10"/>
  <c r="C63" i="10" s="1"/>
  <c r="M40" i="11"/>
  <c r="L40" i="11"/>
  <c r="M23" i="11"/>
  <c r="L23" i="11"/>
  <c r="M20" i="11"/>
  <c r="L20" i="11"/>
  <c r="M19" i="11"/>
  <c r="L19" i="11"/>
  <c r="M17" i="11"/>
  <c r="L17" i="11"/>
  <c r="M14" i="11"/>
  <c r="L14" i="11"/>
  <c r="M13" i="11"/>
  <c r="L13" i="11"/>
  <c r="M11" i="11"/>
  <c r="L11" i="11"/>
  <c r="L28" i="7"/>
  <c r="L29" i="7"/>
  <c r="L18" i="7"/>
  <c r="L22" i="7"/>
  <c r="L30" i="7"/>
  <c r="L33" i="7"/>
  <c r="L13" i="7"/>
  <c r="L11" i="7"/>
  <c r="L7" i="7"/>
  <c r="L6" i="7"/>
  <c r="L47" i="2"/>
  <c r="L39" i="2"/>
  <c r="L38" i="2"/>
  <c r="L35" i="2"/>
  <c r="L34" i="2"/>
  <c r="L32" i="2"/>
  <c r="L29" i="2"/>
  <c r="L28" i="2"/>
  <c r="L27" i="2"/>
  <c r="L22" i="2"/>
  <c r="L31" i="2"/>
  <c r="L23" i="2"/>
  <c r="L16" i="2"/>
  <c r="L20" i="2"/>
  <c r="L19" i="2"/>
  <c r="L18" i="2"/>
  <c r="L17" i="2"/>
  <c r="L15" i="2"/>
  <c r="L11" i="2"/>
  <c r="L12" i="2"/>
  <c r="L9" i="2"/>
  <c r="L10" i="2"/>
  <c r="L8" i="2"/>
  <c r="L7" i="2"/>
  <c r="E56" i="10"/>
  <c r="AC36" i="11"/>
  <c r="AC35" i="11"/>
  <c r="AC32" i="11"/>
  <c r="AC31" i="11"/>
  <c r="AC25" i="11"/>
  <c r="AC13" i="11"/>
  <c r="V35" i="11"/>
  <c r="V34" i="11"/>
  <c r="V33" i="11"/>
  <c r="V32" i="11"/>
  <c r="V31" i="11"/>
  <c r="V25" i="11"/>
  <c r="V13" i="11"/>
  <c r="L9" i="7"/>
  <c r="L32" i="7"/>
  <c r="L21" i="7"/>
  <c r="L23" i="7"/>
  <c r="L49" i="2"/>
  <c r="L36" i="2"/>
  <c r="L50" i="2"/>
  <c r="L101" i="2"/>
  <c r="L102" i="2"/>
  <c r="M102" i="2" s="1"/>
  <c r="L44" i="2"/>
  <c r="L14" i="7"/>
  <c r="B76" i="5"/>
  <c r="B75" i="5"/>
  <c r="B34" i="5" s="1"/>
  <c r="B74" i="5"/>
  <c r="B25" i="5" s="1"/>
  <c r="B73" i="5"/>
  <c r="B50" i="5" s="1"/>
  <c r="B72" i="5"/>
  <c r="B47" i="5" s="1"/>
  <c r="B71" i="5"/>
  <c r="B22" i="5" s="1"/>
  <c r="B70" i="5"/>
  <c r="B38" i="5" s="1"/>
  <c r="B69" i="5"/>
  <c r="B62" i="5" s="1"/>
  <c r="B65" i="5"/>
  <c r="B59" i="5"/>
  <c r="B53" i="5"/>
  <c r="B44" i="5"/>
  <c r="B41" i="5"/>
  <c r="B31" i="5"/>
  <c r="B28" i="5"/>
  <c r="B19" i="5"/>
  <c r="AC12" i="11"/>
  <c r="V12" i="11"/>
  <c r="C6" i="2"/>
  <c r="C7" i="2"/>
  <c r="C8" i="2"/>
  <c r="C10" i="2"/>
  <c r="C9" i="2"/>
  <c r="C12" i="2"/>
  <c r="C11" i="2"/>
  <c r="C14" i="2"/>
  <c r="C13" i="2"/>
  <c r="C15" i="2"/>
  <c r="C17" i="2"/>
  <c r="C18" i="2"/>
  <c r="C19" i="2"/>
  <c r="C20" i="2"/>
  <c r="C16" i="2"/>
  <c r="C21" i="2"/>
  <c r="C23" i="2"/>
  <c r="C31" i="2"/>
  <c r="C22" i="2"/>
  <c r="C24" i="2"/>
  <c r="C26" i="2"/>
  <c r="C27" i="2"/>
  <c r="C28" i="2"/>
  <c r="C25" i="2"/>
  <c r="C30" i="2"/>
  <c r="C29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H51" i="2"/>
  <c r="L51" i="2" s="1"/>
  <c r="K51" i="2"/>
  <c r="C52" i="2"/>
  <c r="H52" i="2"/>
  <c r="K52" i="2"/>
  <c r="L52" i="2" s="1"/>
  <c r="C53" i="2"/>
  <c r="H53" i="2"/>
  <c r="K53" i="2"/>
  <c r="L53" i="2" s="1"/>
  <c r="C54" i="2"/>
  <c r="H54" i="2"/>
  <c r="K54" i="2"/>
  <c r="L54" i="2" s="1"/>
  <c r="C55" i="2"/>
  <c r="K55" i="2"/>
  <c r="L55" i="2" s="1"/>
  <c r="M55" i="2" s="1"/>
  <c r="C56" i="2"/>
  <c r="K56" i="2"/>
  <c r="L56" i="2" s="1"/>
  <c r="M56" i="2" s="1"/>
  <c r="C57" i="2"/>
  <c r="K57" i="2"/>
  <c r="L57" i="2" s="1"/>
  <c r="M57" i="2"/>
  <c r="C58" i="2"/>
  <c r="K58" i="2"/>
  <c r="L58" i="2" s="1"/>
  <c r="M58" i="2"/>
  <c r="C59" i="2"/>
  <c r="K59" i="2"/>
  <c r="L59" i="2" s="1"/>
  <c r="M59" i="2"/>
  <c r="C60" i="2"/>
  <c r="K60" i="2"/>
  <c r="L60" i="2" s="1"/>
  <c r="M60" i="2" s="1"/>
  <c r="C61" i="2"/>
  <c r="K61" i="2"/>
  <c r="L61" i="2" s="1"/>
  <c r="M61" i="2"/>
  <c r="C62" i="2"/>
  <c r="K62" i="2"/>
  <c r="L62" i="2" s="1"/>
  <c r="M62" i="2"/>
  <c r="C63" i="2"/>
  <c r="K63" i="2"/>
  <c r="L63" i="2" s="1"/>
  <c r="M63" i="2"/>
  <c r="C64" i="2"/>
  <c r="K64" i="2"/>
  <c r="L64" i="2" s="1"/>
  <c r="M64" i="2" s="1"/>
  <c r="C65" i="2"/>
  <c r="K65" i="2"/>
  <c r="L65" i="2" s="1"/>
  <c r="M65" i="2"/>
  <c r="C66" i="2"/>
  <c r="K66" i="2"/>
  <c r="L66" i="2" s="1"/>
  <c r="M66" i="2"/>
  <c r="C67" i="2"/>
  <c r="K67" i="2"/>
  <c r="L67" i="2" s="1"/>
  <c r="M67" i="2"/>
  <c r="C68" i="2"/>
  <c r="K68" i="2"/>
  <c r="L68" i="2" s="1"/>
  <c r="M68" i="2" s="1"/>
  <c r="C69" i="2"/>
  <c r="K69" i="2"/>
  <c r="L69" i="2" s="1"/>
  <c r="M69" i="2"/>
  <c r="C70" i="2"/>
  <c r="K70" i="2"/>
  <c r="L70" i="2" s="1"/>
  <c r="M70" i="2"/>
  <c r="C71" i="2"/>
  <c r="K71" i="2"/>
  <c r="L71" i="2" s="1"/>
  <c r="M71" i="2"/>
  <c r="C72" i="2"/>
  <c r="K72" i="2"/>
  <c r="L72" i="2" s="1"/>
  <c r="M72" i="2" s="1"/>
  <c r="C73" i="2"/>
  <c r="K73" i="2"/>
  <c r="L73" i="2" s="1"/>
  <c r="M73" i="2"/>
  <c r="C74" i="2"/>
  <c r="K74" i="2"/>
  <c r="L74" i="2" s="1"/>
  <c r="M74" i="2"/>
  <c r="C75" i="2"/>
  <c r="K75" i="2"/>
  <c r="L75" i="2" s="1"/>
  <c r="M75" i="2"/>
  <c r="C76" i="2"/>
  <c r="K76" i="2"/>
  <c r="L76" i="2" s="1"/>
  <c r="M76" i="2" s="1"/>
  <c r="C77" i="2"/>
  <c r="K77" i="2"/>
  <c r="L77" i="2" s="1"/>
  <c r="M77" i="2"/>
  <c r="C78" i="2"/>
  <c r="K78" i="2"/>
  <c r="L78" i="2" s="1"/>
  <c r="M78" i="2"/>
  <c r="C79" i="2"/>
  <c r="K79" i="2"/>
  <c r="L79" i="2" s="1"/>
  <c r="M79" i="2"/>
  <c r="C80" i="2"/>
  <c r="K80" i="2"/>
  <c r="L80" i="2" s="1"/>
  <c r="M80" i="2" s="1"/>
  <c r="C81" i="2"/>
  <c r="K81" i="2"/>
  <c r="L81" i="2" s="1"/>
  <c r="M81" i="2"/>
  <c r="C82" i="2"/>
  <c r="K82" i="2"/>
  <c r="L82" i="2" s="1"/>
  <c r="M82" i="2"/>
  <c r="C83" i="2"/>
  <c r="K83" i="2"/>
  <c r="L83" i="2" s="1"/>
  <c r="M83" i="2"/>
  <c r="C84" i="2"/>
  <c r="K84" i="2"/>
  <c r="L84" i="2" s="1"/>
  <c r="M84" i="2" s="1"/>
  <c r="C85" i="2"/>
  <c r="K85" i="2"/>
  <c r="L85" i="2" s="1"/>
  <c r="M85" i="2"/>
  <c r="C86" i="2"/>
  <c r="K86" i="2"/>
  <c r="L86" i="2" s="1"/>
  <c r="M86" i="2"/>
  <c r="C87" i="2"/>
  <c r="K87" i="2"/>
  <c r="L87" i="2" s="1"/>
  <c r="M87" i="2"/>
  <c r="C88" i="2"/>
  <c r="K88" i="2"/>
  <c r="L88" i="2" s="1"/>
  <c r="M88" i="2" s="1"/>
  <c r="C89" i="2"/>
  <c r="K89" i="2"/>
  <c r="L89" i="2" s="1"/>
  <c r="M89" i="2"/>
  <c r="C90" i="2"/>
  <c r="K90" i="2"/>
  <c r="L90" i="2" s="1"/>
  <c r="M90" i="2"/>
  <c r="C91" i="2"/>
  <c r="K91" i="2"/>
  <c r="L91" i="2" s="1"/>
  <c r="M91" i="2"/>
  <c r="C92" i="2"/>
  <c r="K92" i="2"/>
  <c r="L92" i="2" s="1"/>
  <c r="M92" i="2" s="1"/>
  <c r="C93" i="2"/>
  <c r="K93" i="2"/>
  <c r="L93" i="2" s="1"/>
  <c r="M93" i="2"/>
  <c r="C94" i="2"/>
  <c r="K94" i="2"/>
  <c r="L94" i="2" s="1"/>
  <c r="M94" i="2"/>
  <c r="C95" i="2"/>
  <c r="K95" i="2"/>
  <c r="L95" i="2" s="1"/>
  <c r="M95" i="2"/>
  <c r="C96" i="2"/>
  <c r="K96" i="2"/>
  <c r="L96" i="2" s="1"/>
  <c r="M96" i="2" s="1"/>
  <c r="C97" i="2"/>
  <c r="K97" i="2"/>
  <c r="L97" i="2" s="1"/>
  <c r="M97" i="2"/>
  <c r="C98" i="2"/>
  <c r="K98" i="2"/>
  <c r="L98" i="2" s="1"/>
  <c r="M98" i="2"/>
  <c r="C99" i="2"/>
  <c r="K99" i="2"/>
  <c r="L99" i="2" s="1"/>
  <c r="M99" i="2"/>
  <c r="C100" i="2"/>
  <c r="K100" i="2"/>
  <c r="L100" i="2" s="1"/>
  <c r="M100" i="2" s="1"/>
  <c r="C101" i="2"/>
  <c r="C102" i="2"/>
  <c r="AC27" i="6"/>
  <c r="AC26" i="6"/>
  <c r="AC25" i="6"/>
  <c r="V25" i="6"/>
  <c r="V26" i="6"/>
  <c r="B32" i="8"/>
  <c r="B29" i="8"/>
  <c r="B26" i="8"/>
  <c r="B23" i="8"/>
  <c r="B32" i="3"/>
  <c r="B29" i="3"/>
  <c r="B25" i="3"/>
  <c r="B22" i="3"/>
  <c r="AC21" i="6"/>
  <c r="AC20" i="6"/>
  <c r="AC19" i="6"/>
  <c r="AC15" i="6"/>
  <c r="AC14" i="6"/>
  <c r="AC13" i="6"/>
  <c r="AC10" i="6"/>
  <c r="AC9" i="6"/>
  <c r="AC8" i="6"/>
  <c r="AC7" i="6"/>
  <c r="V21" i="6"/>
  <c r="V20" i="6"/>
  <c r="V19" i="6"/>
  <c r="V15" i="6"/>
  <c r="V14" i="6"/>
  <c r="V13" i="6"/>
  <c r="V9" i="6"/>
  <c r="V10" i="6"/>
  <c r="V8" i="6"/>
  <c r="V7" i="6"/>
  <c r="U7" i="4"/>
  <c r="U6" i="9"/>
  <c r="U8" i="9"/>
  <c r="U9" i="9"/>
  <c r="U10" i="9"/>
  <c r="U11" i="9"/>
  <c r="U12" i="9"/>
  <c r="U5" i="9"/>
  <c r="AC23" i="11"/>
  <c r="AC20" i="11"/>
  <c r="AC11" i="11"/>
  <c r="AC8" i="11"/>
  <c r="V23" i="11"/>
  <c r="V20" i="11"/>
  <c r="V11" i="11"/>
  <c r="V8" i="11"/>
  <c r="L40" i="2"/>
  <c r="L37" i="2"/>
  <c r="L43" i="2"/>
  <c r="L45" i="2"/>
  <c r="C6" i="7"/>
  <c r="J25" i="9"/>
  <c r="C7" i="7"/>
  <c r="C8" i="7"/>
  <c r="C10" i="7"/>
  <c r="C9" i="7"/>
  <c r="J8" i="9" s="1"/>
  <c r="C11" i="7"/>
  <c r="C12" i="7"/>
  <c r="C13" i="7"/>
  <c r="C14" i="7"/>
  <c r="C16" i="7"/>
  <c r="C15" i="7"/>
  <c r="C18" i="7"/>
  <c r="J36" i="11" s="1"/>
  <c r="C17" i="7"/>
  <c r="C19" i="7"/>
  <c r="J34" i="11" s="1"/>
  <c r="C21" i="7"/>
  <c r="C22" i="7"/>
  <c r="C24" i="7"/>
  <c r="C25" i="7"/>
  <c r="C26" i="7"/>
  <c r="C27" i="7"/>
  <c r="C28" i="7"/>
  <c r="C29" i="7"/>
  <c r="C30" i="7"/>
  <c r="C23" i="7"/>
  <c r="C20" i="7"/>
  <c r="C31" i="7"/>
  <c r="C32" i="7"/>
  <c r="C33" i="7"/>
  <c r="C34" i="7"/>
  <c r="H34" i="7"/>
  <c r="L34" i="7" s="1"/>
  <c r="K34" i="7"/>
  <c r="C35" i="7"/>
  <c r="H35" i="7"/>
  <c r="L35" i="7"/>
  <c r="K35" i="7"/>
  <c r="C36" i="7"/>
  <c r="H36" i="7"/>
  <c r="L36" i="7"/>
  <c r="K36" i="7"/>
  <c r="C37" i="7"/>
  <c r="H37" i="7"/>
  <c r="K37" i="7"/>
  <c r="C38" i="7"/>
  <c r="H38" i="7"/>
  <c r="L38" i="7"/>
  <c r="K38" i="7"/>
  <c r="C39" i="7"/>
  <c r="H39" i="7"/>
  <c r="L39" i="7"/>
  <c r="K39" i="7"/>
  <c r="C40" i="7"/>
  <c r="H40" i="7"/>
  <c r="K40" i="7"/>
  <c r="C41" i="7"/>
  <c r="H41" i="7"/>
  <c r="K41" i="7"/>
  <c r="L41" i="7" s="1"/>
  <c r="C42" i="7"/>
  <c r="H42" i="7"/>
  <c r="K42" i="7"/>
  <c r="L42" i="7" s="1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7" i="7"/>
  <c r="C58" i="7"/>
  <c r="C59" i="7"/>
  <c r="C60" i="7"/>
  <c r="C61" i="7"/>
  <c r="C62" i="7"/>
  <c r="C63" i="7"/>
  <c r="C64" i="7"/>
  <c r="C65" i="7"/>
  <c r="C66" i="7"/>
  <c r="C67" i="7"/>
  <c r="C68" i="7"/>
  <c r="C69" i="7"/>
  <c r="C70" i="7"/>
  <c r="C71" i="7"/>
  <c r="C72" i="7"/>
  <c r="C73" i="7"/>
  <c r="C74" i="7"/>
  <c r="C75" i="7"/>
  <c r="C76" i="7"/>
  <c r="C77" i="7"/>
  <c r="L26" i="7"/>
  <c r="L27" i="7"/>
  <c r="L15" i="7"/>
  <c r="L17" i="7"/>
  <c r="L10" i="7"/>
  <c r="L43" i="7"/>
  <c r="L44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2" i="7"/>
  <c r="L73" i="7"/>
  <c r="L74" i="7"/>
  <c r="L75" i="7"/>
  <c r="L76" i="7"/>
  <c r="L77" i="7"/>
  <c r="A6" i="11"/>
  <c r="A7" i="11"/>
  <c r="A8" i="11"/>
  <c r="A9" i="11"/>
  <c r="V9" i="11"/>
  <c r="AC9" i="11"/>
  <c r="A10" i="11"/>
  <c r="V10" i="11"/>
  <c r="AC10" i="11"/>
  <c r="A19" i="11"/>
  <c r="A20" i="11"/>
  <c r="A21" i="11"/>
  <c r="V21" i="11"/>
  <c r="AC21" i="11"/>
  <c r="A22" i="11"/>
  <c r="V22" i="11"/>
  <c r="AC22" i="11"/>
  <c r="A23" i="11"/>
  <c r="A24" i="11"/>
  <c r="A25" i="11"/>
  <c r="A26" i="11"/>
  <c r="A27" i="11"/>
  <c r="A28" i="11"/>
  <c r="A29" i="11"/>
  <c r="H8" i="9"/>
  <c r="J21" i="9"/>
  <c r="H24" i="9"/>
  <c r="H54" i="9"/>
  <c r="A6" i="6"/>
  <c r="A7" i="6"/>
  <c r="A8" i="6"/>
  <c r="A9" i="6"/>
  <c r="A10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H54" i="6"/>
  <c r="A6" i="4"/>
  <c r="A7" i="4"/>
  <c r="A8" i="4"/>
  <c r="A9" i="4"/>
  <c r="A10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H54" i="4"/>
  <c r="H33" i="9"/>
  <c r="J9" i="9"/>
  <c r="H21" i="9"/>
  <c r="H17" i="11"/>
  <c r="L12" i="7"/>
  <c r="L8" i="7"/>
  <c r="J30" i="9"/>
  <c r="H26" i="11"/>
  <c r="H28" i="9"/>
  <c r="L20" i="7"/>
  <c r="H12" i="11"/>
  <c r="H6" i="9"/>
  <c r="L25" i="7"/>
  <c r="L19" i="7"/>
  <c r="L24" i="7"/>
  <c r="L31" i="7"/>
  <c r="L16" i="7"/>
  <c r="L13" i="2"/>
  <c r="H51" i="4"/>
  <c r="J45" i="6"/>
  <c r="H52" i="4"/>
  <c r="L46" i="2"/>
  <c r="J48" i="6"/>
  <c r="J11" i="4"/>
  <c r="H52" i="9"/>
  <c r="H13" i="4"/>
  <c r="J9" i="4"/>
  <c r="J42" i="9"/>
  <c r="J12" i="4"/>
  <c r="J24" i="4"/>
  <c r="H51" i="9"/>
  <c r="J39" i="9"/>
  <c r="J19" i="4"/>
  <c r="H23" i="4"/>
  <c r="J52" i="4"/>
  <c r="J41" i="4"/>
  <c r="J22" i="4"/>
  <c r="H37" i="4"/>
  <c r="H6" i="4"/>
  <c r="H8" i="4"/>
  <c r="J34" i="6"/>
  <c r="H53" i="4"/>
  <c r="J15" i="4"/>
  <c r="H43" i="4"/>
  <c r="J28" i="4"/>
  <c r="H32" i="6"/>
  <c r="H9" i="6"/>
  <c r="J16" i="4"/>
  <c r="H36" i="9"/>
  <c r="J31" i="4"/>
  <c r="J40" i="6"/>
  <c r="J33" i="4"/>
  <c r="H28" i="4"/>
  <c r="J25" i="4"/>
  <c r="L30" i="2"/>
  <c r="L25" i="2"/>
  <c r="L24" i="2"/>
  <c r="L21" i="2"/>
  <c r="J8" i="6"/>
  <c r="H29" i="6"/>
  <c r="H37" i="6"/>
  <c r="J51" i="6"/>
  <c r="J41" i="9"/>
  <c r="J20" i="4"/>
  <c r="H10" i="6"/>
  <c r="J34" i="4"/>
  <c r="H39" i="6"/>
  <c r="H44" i="4"/>
  <c r="H10" i="4"/>
  <c r="J32" i="4"/>
  <c r="H29" i="4"/>
  <c r="H24" i="4"/>
  <c r="J21" i="4"/>
  <c r="H15" i="4"/>
  <c r="L48" i="2"/>
  <c r="J25" i="6"/>
  <c r="J8" i="4"/>
  <c r="J17" i="6"/>
  <c r="L26" i="2"/>
  <c r="L42" i="2"/>
  <c r="L14" i="2"/>
  <c r="L33" i="2"/>
  <c r="L41" i="2"/>
  <c r="L6" i="2"/>
  <c r="H6" i="6"/>
  <c r="J17" i="4"/>
  <c r="H35" i="4"/>
  <c r="H38" i="4"/>
  <c r="H49" i="4"/>
  <c r="H53" i="9"/>
  <c r="H45" i="9"/>
  <c r="J51" i="9"/>
  <c r="H39" i="9"/>
  <c r="J23" i="6"/>
  <c r="J36" i="6"/>
  <c r="H46" i="4"/>
  <c r="H7" i="6"/>
  <c r="J29" i="6"/>
  <c r="J44" i="6"/>
  <c r="J7" i="4"/>
  <c r="H16" i="4"/>
  <c r="J23" i="4"/>
  <c r="H41" i="4"/>
  <c r="H53" i="6"/>
  <c r="H35" i="9"/>
  <c r="H42" i="9"/>
  <c r="H50" i="9"/>
  <c r="J11" i="6"/>
  <c r="J20" i="6"/>
  <c r="H23" i="6"/>
  <c r="J13" i="4"/>
  <c r="H31" i="4"/>
  <c r="H47" i="9"/>
  <c r="J46" i="9"/>
  <c r="J36" i="4"/>
  <c r="H16" i="6"/>
  <c r="J49" i="4"/>
  <c r="H45" i="4"/>
  <c r="H46" i="6"/>
  <c r="H12" i="6"/>
  <c r="H31" i="6"/>
  <c r="H48" i="6"/>
  <c r="H18" i="4"/>
  <c r="H26" i="4"/>
  <c r="H34" i="4"/>
  <c r="J46" i="4"/>
  <c r="J42" i="6"/>
  <c r="H40" i="9"/>
  <c r="J43" i="6"/>
  <c r="J38" i="9"/>
  <c r="H43" i="9"/>
  <c r="H48" i="9"/>
  <c r="H26" i="6"/>
  <c r="J49" i="6"/>
  <c r="J10" i="4"/>
  <c r="J18" i="4"/>
  <c r="J26" i="4"/>
  <c r="H18" i="6"/>
  <c r="J29" i="4"/>
  <c r="H49" i="6"/>
  <c r="J47" i="6"/>
  <c r="J48" i="4"/>
  <c r="J13" i="6"/>
  <c r="J26" i="6"/>
  <c r="J52" i="9"/>
  <c r="H38" i="9"/>
  <c r="H17" i="6"/>
  <c r="H35" i="6"/>
  <c r="H52" i="6"/>
  <c r="H12" i="4"/>
  <c r="J27" i="4"/>
  <c r="J35" i="4"/>
  <c r="J50" i="4"/>
  <c r="H33" i="6"/>
  <c r="J53" i="4"/>
  <c r="J34" i="9"/>
  <c r="J33" i="6"/>
  <c r="H36" i="6"/>
  <c r="H7" i="4"/>
  <c r="J7" i="6"/>
  <c r="H39" i="4"/>
  <c r="H19" i="4"/>
  <c r="H40" i="6"/>
  <c r="H20" i="6"/>
  <c r="H43" i="6"/>
  <c r="H22" i="6"/>
  <c r="H25" i="6"/>
  <c r="J38" i="4"/>
  <c r="H50" i="6"/>
  <c r="H27" i="6"/>
  <c r="J40" i="9"/>
  <c r="J31" i="6"/>
  <c r="J51" i="4"/>
  <c r="J38" i="6"/>
  <c r="H47" i="4"/>
  <c r="H33" i="4"/>
  <c r="H21" i="4"/>
  <c r="H9" i="4"/>
  <c r="J37" i="6"/>
  <c r="H13" i="6"/>
  <c r="H34" i="9"/>
  <c r="J19" i="6"/>
  <c r="J49" i="9"/>
  <c r="H14" i="4"/>
  <c r="H19" i="6"/>
  <c r="J47" i="9"/>
  <c r="H44" i="9"/>
  <c r="H20" i="9"/>
  <c r="J30" i="6"/>
  <c r="H8" i="6"/>
  <c r="H38" i="6"/>
  <c r="J39" i="6"/>
  <c r="H45" i="6"/>
  <c r="H40" i="4"/>
  <c r="H42" i="4"/>
  <c r="J32" i="6"/>
  <c r="H15" i="6"/>
  <c r="J48" i="9"/>
  <c r="J46" i="6"/>
  <c r="H47" i="6"/>
  <c r="H36" i="4"/>
  <c r="H44" i="6"/>
  <c r="H14" i="6"/>
  <c r="H37" i="9"/>
  <c r="H42" i="6"/>
  <c r="J37" i="9"/>
  <c r="H51" i="6"/>
  <c r="J43" i="4"/>
  <c r="J30" i="4"/>
  <c r="J6" i="4"/>
  <c r="H28" i="6"/>
  <c r="J43" i="9"/>
  <c r="J44" i="9"/>
  <c r="H34" i="6"/>
  <c r="H21" i="6"/>
  <c r="H30" i="4"/>
  <c r="H46" i="9"/>
  <c r="J42" i="4"/>
  <c r="H31" i="9"/>
  <c r="H27" i="9"/>
  <c r="H17" i="4"/>
  <c r="H32" i="9"/>
  <c r="H25" i="9"/>
  <c r="J12" i="9"/>
  <c r="H22" i="9"/>
  <c r="H12" i="9"/>
  <c r="H14" i="11"/>
  <c r="J15" i="9"/>
  <c r="H7" i="9"/>
  <c r="H11" i="9"/>
  <c r="J18" i="9"/>
  <c r="H23" i="11"/>
  <c r="J22" i="9"/>
  <c r="H30" i="9"/>
  <c r="J19" i="9"/>
  <c r="H10" i="9"/>
  <c r="J20" i="9"/>
  <c r="J13" i="9"/>
  <c r="H24" i="11"/>
  <c r="J26" i="9"/>
  <c r="J16" i="9"/>
  <c r="J6" i="9"/>
  <c r="H16" i="9"/>
  <c r="J7" i="9"/>
  <c r="J28" i="9"/>
  <c r="J11" i="9"/>
  <c r="H29" i="11"/>
  <c r="H23" i="9"/>
  <c r="H17" i="9"/>
  <c r="J54" i="6"/>
  <c r="H8" i="11"/>
  <c r="R11" i="11" s="1"/>
  <c r="C68" i="10" s="1"/>
  <c r="C59" i="10" s="1"/>
  <c r="F60" i="10" s="1"/>
  <c r="H57" i="10" s="1"/>
  <c r="H11" i="6"/>
  <c r="H41" i="6"/>
  <c r="J53" i="9"/>
  <c r="J47" i="4"/>
  <c r="H50" i="4"/>
  <c r="H27" i="4"/>
  <c r="H30" i="6"/>
  <c r="J35" i="9"/>
  <c r="J36" i="9"/>
  <c r="J45" i="4"/>
  <c r="H48" i="4"/>
  <c r="H32" i="4"/>
  <c r="H11" i="4"/>
  <c r="J41" i="6"/>
  <c r="J50" i="9"/>
  <c r="H49" i="9"/>
  <c r="J50" i="6"/>
  <c r="J45" i="9"/>
  <c r="J40" i="4"/>
  <c r="J39" i="4"/>
  <c r="H25" i="4"/>
  <c r="J14" i="4"/>
  <c r="J53" i="6"/>
  <c r="H24" i="6"/>
  <c r="H41" i="9"/>
  <c r="J14" i="6"/>
  <c r="J52" i="6"/>
  <c r="J44" i="4"/>
  <c r="H22" i="4"/>
  <c r="J35" i="6"/>
  <c r="J37" i="4"/>
  <c r="H20" i="4"/>
  <c r="T19" i="9"/>
  <c r="J20" i="11"/>
  <c r="J27" i="11"/>
  <c r="J29" i="11"/>
  <c r="H32" i="11"/>
  <c r="J33" i="11"/>
  <c r="J39" i="11"/>
  <c r="H33" i="11"/>
  <c r="J26" i="11"/>
  <c r="H10" i="11"/>
  <c r="H30" i="11"/>
  <c r="J22" i="11"/>
  <c r="H19" i="11"/>
  <c r="J19" i="11"/>
  <c r="H27" i="11" l="1"/>
  <c r="J10" i="11"/>
  <c r="J37" i="11"/>
  <c r="J9" i="11"/>
  <c r="J11" i="11"/>
  <c r="J32" i="11"/>
  <c r="J14" i="11"/>
  <c r="J15" i="11"/>
  <c r="H39" i="11"/>
  <c r="J7" i="11"/>
  <c r="R13" i="11" s="1"/>
  <c r="J18" i="11"/>
  <c r="L40" i="7"/>
  <c r="T15" i="9"/>
  <c r="J17" i="11"/>
  <c r="H22" i="11"/>
  <c r="H28" i="11"/>
  <c r="H7" i="11"/>
  <c r="R8" i="11" s="1"/>
  <c r="E20" i="10" s="1"/>
  <c r="J28" i="11"/>
  <c r="J13" i="11"/>
  <c r="L37" i="7"/>
  <c r="H34" i="11"/>
  <c r="J30" i="11"/>
  <c r="H16" i="11"/>
  <c r="J25" i="11"/>
  <c r="H25" i="11"/>
  <c r="H38" i="11"/>
  <c r="J35" i="11"/>
  <c r="H13" i="11"/>
  <c r="J41" i="11"/>
  <c r="J31" i="11"/>
  <c r="J40" i="11"/>
  <c r="J24" i="11"/>
  <c r="J6" i="11"/>
  <c r="J21" i="11"/>
  <c r="H31" i="11"/>
  <c r="H41" i="11"/>
  <c r="H21" i="11"/>
  <c r="H13" i="9"/>
  <c r="H29" i="9"/>
  <c r="J29" i="9"/>
  <c r="J10" i="9"/>
  <c r="J17" i="9"/>
  <c r="H15" i="11"/>
  <c r="H18" i="11"/>
  <c r="J38" i="11"/>
  <c r="J8" i="11"/>
  <c r="H40" i="11"/>
  <c r="H15" i="9"/>
  <c r="J32" i="9"/>
  <c r="J23" i="9"/>
  <c r="J12" i="11"/>
  <c r="H14" i="9"/>
  <c r="H9" i="11"/>
  <c r="J14" i="9"/>
  <c r="J33" i="9"/>
  <c r="H36" i="11"/>
  <c r="J16" i="11"/>
  <c r="H6" i="11"/>
  <c r="J31" i="9"/>
  <c r="J24" i="9"/>
  <c r="H18" i="9"/>
  <c r="H9" i="9"/>
  <c r="H11" i="11"/>
  <c r="H26" i="9"/>
  <c r="J27" i="9"/>
  <c r="H19" i="9"/>
  <c r="H20" i="11"/>
  <c r="H37" i="11"/>
  <c r="H35" i="11"/>
  <c r="J23" i="11"/>
  <c r="S15" i="9"/>
  <c r="S18" i="9"/>
  <c r="T18" i="9" s="1"/>
  <c r="S20" i="9"/>
  <c r="T20" i="9" s="1"/>
  <c r="S21" i="4"/>
  <c r="T21" i="4" s="1"/>
  <c r="S22" i="4"/>
  <c r="T22" i="4" s="1"/>
  <c r="S17" i="4"/>
  <c r="T17" i="4" s="1"/>
  <c r="R16" i="9"/>
  <c r="T16" i="9" s="1"/>
  <c r="R18" i="4"/>
  <c r="T18" i="4" s="1"/>
  <c r="R17" i="9"/>
  <c r="T17" i="9" s="1"/>
  <c r="S16" i="4"/>
  <c r="T16" i="4" s="1"/>
  <c r="T19" i="4"/>
</calcChain>
</file>

<file path=xl/sharedStrings.xml><?xml version="1.0" encoding="utf-8"?>
<sst xmlns="http://schemas.openxmlformats.org/spreadsheetml/2006/main" count="2918" uniqueCount="1047">
  <si>
    <t xml:space="preserve"> </t>
  </si>
  <si>
    <t>比賽須知</t>
  </si>
  <si>
    <t>報　　到</t>
  </si>
  <si>
    <t>所有參賽隊伍須於規定時間前15分鐘，向司令台報到.</t>
  </si>
  <si>
    <t>如發現冒名頂替者，則其球隊之比賽資格及所得成績分將被取消。</t>
  </si>
  <si>
    <t>比賽制服</t>
  </si>
  <si>
    <t>比賽隊伍必須穿著比賽制服</t>
  </si>
  <si>
    <t>比賽規則</t>
  </si>
  <si>
    <t>採用國際排球協會最新之沙灘排球現規則，網高及球場面積如下：</t>
  </si>
  <si>
    <t>男子甲組網高2.43米，男子乙組網高2.35米，女子甲組網高2.24米，女子乙組網高2.20米</t>
  </si>
  <si>
    <t xml:space="preserve">球場：16米x 8米；半場8米x 8米 </t>
  </si>
  <si>
    <t>小組賽兩局制，每球得分制，需至少領前兩分為勝1局，並無上限分.每勝一場得3分，每負一場得0分，平手各得1分。</t>
  </si>
  <si>
    <t>複賽三局兩勝制，每球得分制，需至少領前兩分為勝1局，並無上限分.</t>
  </si>
  <si>
    <t>一,二局每累積7分,決勝局每累積5分交換場地作賽</t>
  </si>
  <si>
    <t>每隊每局一次暫停,限時30秒,只有隊長方可要求暫停</t>
  </si>
  <si>
    <t>技術暫停：只設於一,二局,兩隊得分總和21分時自動執行,限時30秒.</t>
  </si>
  <si>
    <t>球員不可用上手手指﹝虛攻﹞完成攻擊性擊球</t>
  </si>
  <si>
    <t>凡 NO SHOW 將不獲積分</t>
  </si>
  <si>
    <t>Competition Information</t>
  </si>
  <si>
    <t xml:space="preserve">Report </t>
  </si>
  <si>
    <t>Teams should report to the competition organizer 15 minutes before the competition.</t>
  </si>
  <si>
    <t>All results will be deleted if unlawful player has been found.</t>
  </si>
  <si>
    <t>Uniform</t>
  </si>
  <si>
    <t>Players in a team should wear identical uniform with visible number 1 &amp; 2 on front and back side of players’uniform</t>
  </si>
  <si>
    <t>Rules</t>
  </si>
  <si>
    <t xml:space="preserve">Beach volleyball official rules from FIVB will be adopted throughout the game. </t>
  </si>
  <si>
    <t>Dimensions of playing area and height of the net are as follow:</t>
  </si>
  <si>
    <t>Playing area: 16m x 8m</t>
  </si>
  <si>
    <t>A Grade Men's net: 2.43m ;B Grade Men's net: 2.35m ;A Grade Women's net: 2.24m;B Grade Women's net: 2.20m</t>
  </si>
  <si>
    <t xml:space="preserve">A match would be won by team that wins two sets with each of them having a minimum lead of 2 points. </t>
  </si>
  <si>
    <t>In the case of 1-1 ties, the deciding set (the 3rd) is played to 15 points with a minimum lead of 2 points.</t>
  </si>
  <si>
    <t>Court switch would be taken place after every 7 points (Set 1 and 2)  and 5 points (Set 3) played</t>
  </si>
  <si>
    <t xml:space="preserve">Each team is entitled to a maximum of one time-out per set. Each time-out lasts for 30 seconds and could be called by either of the players </t>
  </si>
  <si>
    <t>Technical Time-out: in sets 1 and 2, one additional 30 second Technical Time-out</t>
  </si>
  <si>
    <t xml:space="preserve">is automatically allocated when the sum of the points scored by the teams equals 21 points.  </t>
  </si>
  <si>
    <t>A player completes an attack-hit using an “open-handed tip or dink” directing the ball</t>
  </si>
  <si>
    <t>with the fingers would be considered as a attack-hit fault</t>
  </si>
  <si>
    <t>Knock out system &amp; best of 3 system will be adopted in the final round and QT</t>
  </si>
  <si>
    <t xml:space="preserve">For Preliminary Round, all the games are in 2 sets </t>
  </si>
  <si>
    <t>No points will be given for those "no show"</t>
  </si>
  <si>
    <t xml:space="preserve">Men Division I's net: 2.43m ;Men Division II's net: 2.35m ; Women Division I's net: 2.24m;Women Division II's net: 2.20m </t>
  </si>
  <si>
    <t>In pool games,two sets in each game,win a game will get 3 points,draw a game will get 1 point.</t>
  </si>
  <si>
    <t>In the round of 16, in case of 1-1 ties, the deciding set (the 3rd) is played to 15 points with a minimum lead of 2 points.</t>
  </si>
  <si>
    <t>Each team is entitled to a maximum of one time-out per set. Each time-out lasts for 30 seconds and could be called by captain</t>
  </si>
  <si>
    <t>Seeding List (table 2)</t>
  </si>
  <si>
    <t xml:space="preserve">Read </t>
  </si>
  <si>
    <t>Team</t>
  </si>
  <si>
    <t>Team Name</t>
  </si>
  <si>
    <t>Ind.</t>
  </si>
  <si>
    <t>DRAW RESULT</t>
  </si>
  <si>
    <t>SEED NO.</t>
  </si>
  <si>
    <t>Seeding</t>
  </si>
  <si>
    <t>Points</t>
  </si>
  <si>
    <t>AA1</t>
  </si>
  <si>
    <t>AA2</t>
  </si>
  <si>
    <t>AA3</t>
  </si>
  <si>
    <t>AA4</t>
  </si>
  <si>
    <t>AA5</t>
  </si>
  <si>
    <t>AA6</t>
  </si>
  <si>
    <t>AA7</t>
  </si>
  <si>
    <t>AA8</t>
  </si>
  <si>
    <t>A1</t>
  </si>
  <si>
    <t>B1</t>
  </si>
  <si>
    <t>M845</t>
  </si>
  <si>
    <t>C1</t>
  </si>
  <si>
    <t>D1</t>
  </si>
  <si>
    <t>E1</t>
  </si>
  <si>
    <t>F1</t>
  </si>
  <si>
    <t>H2</t>
  </si>
  <si>
    <t>NEW</t>
  </si>
  <si>
    <t>E2</t>
  </si>
  <si>
    <t>D2</t>
  </si>
  <si>
    <t>M843</t>
  </si>
  <si>
    <t>C2</t>
  </si>
  <si>
    <t>B2</t>
  </si>
  <si>
    <t>A2</t>
  </si>
  <si>
    <t>M850</t>
  </si>
  <si>
    <t>C3</t>
  </si>
  <si>
    <t>F3</t>
  </si>
  <si>
    <t>G3</t>
  </si>
  <si>
    <t>H3</t>
  </si>
  <si>
    <t>H4</t>
  </si>
  <si>
    <t>???</t>
  </si>
  <si>
    <t>????</t>
  </si>
  <si>
    <t>M839</t>
  </si>
  <si>
    <t>M840</t>
  </si>
  <si>
    <t>M841</t>
  </si>
  <si>
    <t>G1</t>
  </si>
  <si>
    <t>H1</t>
  </si>
  <si>
    <t>M842</t>
  </si>
  <si>
    <t>M844</t>
  </si>
  <si>
    <t>F2</t>
  </si>
  <si>
    <t>G2</t>
  </si>
  <si>
    <t>M846</t>
  </si>
  <si>
    <t>A3</t>
  </si>
  <si>
    <t>B3</t>
  </si>
  <si>
    <t>M847</t>
  </si>
  <si>
    <t>D3</t>
  </si>
  <si>
    <t>M848</t>
  </si>
  <si>
    <t>E3</t>
  </si>
  <si>
    <t>M849</t>
  </si>
  <si>
    <t>BYE</t>
  </si>
  <si>
    <t>A4</t>
  </si>
  <si>
    <t>M851</t>
  </si>
  <si>
    <t>B4</t>
  </si>
  <si>
    <t>C4</t>
  </si>
  <si>
    <t>M852</t>
  </si>
  <si>
    <t>D4</t>
  </si>
  <si>
    <t>E4</t>
  </si>
  <si>
    <t>F4</t>
  </si>
  <si>
    <t>M853</t>
  </si>
  <si>
    <t>G4</t>
  </si>
  <si>
    <t>M854</t>
  </si>
  <si>
    <t>M855</t>
  </si>
  <si>
    <t>M856</t>
  </si>
  <si>
    <t>AB1</t>
  </si>
  <si>
    <t>AB2</t>
  </si>
  <si>
    <t>M857</t>
  </si>
  <si>
    <t>AB3</t>
  </si>
  <si>
    <t>AB4</t>
  </si>
  <si>
    <t>M858</t>
  </si>
  <si>
    <t>P3</t>
  </si>
  <si>
    <t>M859</t>
  </si>
  <si>
    <t>O3</t>
  </si>
  <si>
    <t>N3</t>
  </si>
  <si>
    <t>M860</t>
  </si>
  <si>
    <t>M3</t>
  </si>
  <si>
    <t>L3</t>
  </si>
  <si>
    <t>M861</t>
  </si>
  <si>
    <t>K3</t>
  </si>
  <si>
    <t>J3</t>
  </si>
  <si>
    <t>I3</t>
  </si>
  <si>
    <t>M862</t>
  </si>
  <si>
    <t>SEED#1</t>
  </si>
  <si>
    <t>SEED#2</t>
  </si>
  <si>
    <t>SEED#3</t>
  </si>
  <si>
    <t>SEED#4</t>
  </si>
  <si>
    <t>SEED#5</t>
  </si>
  <si>
    <t>SEED#6</t>
  </si>
  <si>
    <t>SEED#7</t>
  </si>
  <si>
    <t>SEED#8</t>
  </si>
  <si>
    <t>MA1</t>
  </si>
  <si>
    <t>MA4</t>
  </si>
  <si>
    <t>Final 1/2 places</t>
  </si>
  <si>
    <t>MA2</t>
  </si>
  <si>
    <t>MA3</t>
  </si>
  <si>
    <t>Final 3/4 places</t>
  </si>
  <si>
    <t>1st</t>
  </si>
  <si>
    <t>144 pts</t>
  </si>
  <si>
    <t>2nd</t>
  </si>
  <si>
    <t>132 pts</t>
  </si>
  <si>
    <t>3rd</t>
  </si>
  <si>
    <t>120 pts</t>
  </si>
  <si>
    <t>4th</t>
  </si>
  <si>
    <t>108 pts</t>
  </si>
  <si>
    <t>Playing Schedule (Men's Division I)</t>
  </si>
  <si>
    <t>Match No.</t>
  </si>
  <si>
    <t>POOL</t>
  </si>
  <si>
    <t>Group</t>
  </si>
  <si>
    <t>TEAMS</t>
  </si>
  <si>
    <t>TEAM A</t>
  </si>
  <si>
    <t>TEAM B</t>
  </si>
  <si>
    <t>Serial no.</t>
  </si>
  <si>
    <t>Position</t>
  </si>
  <si>
    <t>Win</t>
  </si>
  <si>
    <t>Loss</t>
  </si>
  <si>
    <t>A</t>
  </si>
  <si>
    <t>Vs</t>
  </si>
  <si>
    <t>E</t>
  </si>
  <si>
    <t>F</t>
  </si>
  <si>
    <t>G</t>
  </si>
  <si>
    <t>H</t>
  </si>
  <si>
    <t>B</t>
  </si>
  <si>
    <t>C</t>
  </si>
  <si>
    <t>D</t>
  </si>
  <si>
    <t>SEED#9</t>
  </si>
  <si>
    <t>SEED#10</t>
  </si>
  <si>
    <t>SEED#11</t>
  </si>
  <si>
    <t>SEED#12</t>
  </si>
  <si>
    <t>SEED#13</t>
  </si>
  <si>
    <t>SEED#14</t>
  </si>
  <si>
    <t>SEED#15</t>
  </si>
  <si>
    <t>SEED#16</t>
  </si>
  <si>
    <t>SEED#24</t>
  </si>
  <si>
    <t>SEED#23</t>
  </si>
  <si>
    <t>SEED#22</t>
  </si>
  <si>
    <t>SEED#21</t>
  </si>
  <si>
    <t>SEED#20</t>
  </si>
  <si>
    <t>SEED#19</t>
  </si>
  <si>
    <t>SEED#18</t>
  </si>
  <si>
    <t>SEED#17</t>
  </si>
  <si>
    <t>SEED#25</t>
  </si>
  <si>
    <t>SEED#26</t>
  </si>
  <si>
    <t>SEED#27</t>
  </si>
  <si>
    <t>SEED#28</t>
  </si>
  <si>
    <t>SEED#29</t>
  </si>
  <si>
    <t>SEED#30</t>
  </si>
  <si>
    <t>SEED#31</t>
  </si>
  <si>
    <t>SEED#32</t>
  </si>
  <si>
    <t>SEED#36</t>
  </si>
  <si>
    <t>SEED#35</t>
  </si>
  <si>
    <t>SEED#34</t>
  </si>
  <si>
    <t>SEED#33</t>
  </si>
  <si>
    <t>MB1</t>
  </si>
  <si>
    <t>MB9</t>
  </si>
  <si>
    <t>MB2</t>
  </si>
  <si>
    <t>MB13</t>
  </si>
  <si>
    <t>MB3</t>
  </si>
  <si>
    <t>MB10</t>
  </si>
  <si>
    <t>MB4</t>
  </si>
  <si>
    <t>MB16</t>
  </si>
  <si>
    <t>MB5</t>
  </si>
  <si>
    <t>MB11</t>
  </si>
  <si>
    <t>MB6</t>
  </si>
  <si>
    <t>MB14</t>
  </si>
  <si>
    <t>MB7</t>
  </si>
  <si>
    <t>MB12</t>
  </si>
  <si>
    <t>MB15</t>
  </si>
  <si>
    <t>MB8</t>
  </si>
  <si>
    <t>96 pts</t>
  </si>
  <si>
    <t>84 pts</t>
  </si>
  <si>
    <t>5th</t>
  </si>
  <si>
    <t>72 pts</t>
  </si>
  <si>
    <t>9th</t>
  </si>
  <si>
    <t>54 pts</t>
  </si>
  <si>
    <t>Playing Schedule (Men's Division II)</t>
  </si>
  <si>
    <t>F699</t>
  </si>
  <si>
    <t>F708</t>
  </si>
  <si>
    <t>F725</t>
  </si>
  <si>
    <t>F691</t>
  </si>
  <si>
    <t>F692</t>
  </si>
  <si>
    <t>F693</t>
  </si>
  <si>
    <t>F694</t>
  </si>
  <si>
    <t>F695</t>
  </si>
  <si>
    <t>F696</t>
  </si>
  <si>
    <t>F697</t>
  </si>
  <si>
    <t>F698</t>
  </si>
  <si>
    <t>F700</t>
  </si>
  <si>
    <t>F701</t>
  </si>
  <si>
    <t>F702</t>
  </si>
  <si>
    <t>F703</t>
  </si>
  <si>
    <t>F704</t>
  </si>
  <si>
    <t>F705</t>
  </si>
  <si>
    <t>F706</t>
  </si>
  <si>
    <t>F707</t>
  </si>
  <si>
    <t>F709</t>
  </si>
  <si>
    <t>F710</t>
  </si>
  <si>
    <t>F711</t>
  </si>
  <si>
    <t>QT4</t>
  </si>
  <si>
    <t>F712</t>
  </si>
  <si>
    <t>QT5</t>
  </si>
  <si>
    <t>F713</t>
  </si>
  <si>
    <t>F714</t>
  </si>
  <si>
    <t>F715</t>
  </si>
  <si>
    <t>F716</t>
  </si>
  <si>
    <t>F717</t>
  </si>
  <si>
    <t>F718</t>
  </si>
  <si>
    <t>F719</t>
  </si>
  <si>
    <t>F720</t>
  </si>
  <si>
    <t xml:space="preserve"> AB4</t>
  </si>
  <si>
    <t>F721</t>
  </si>
  <si>
    <t>F722</t>
  </si>
  <si>
    <t>F723</t>
  </si>
  <si>
    <t>F724</t>
  </si>
  <si>
    <t>WA1</t>
  </si>
  <si>
    <t>WA4</t>
  </si>
  <si>
    <t>WA2</t>
  </si>
  <si>
    <t>WA3</t>
  </si>
  <si>
    <t>Playing Schedule (Women's Division I)</t>
  </si>
  <si>
    <t>.</t>
  </si>
  <si>
    <t>WB5</t>
  </si>
  <si>
    <t>WB1</t>
  </si>
  <si>
    <t>WB6</t>
  </si>
  <si>
    <t>WB7</t>
  </si>
  <si>
    <t>WB8</t>
  </si>
  <si>
    <t>Playing Schedule (Women's Division II)</t>
  </si>
  <si>
    <t>The Playing Schedule MAY BE affected by the progression of previous match days</t>
  </si>
  <si>
    <t>1st digit</t>
  </si>
  <si>
    <t>Starting Time</t>
  </si>
  <si>
    <t>Serial No.</t>
  </si>
  <si>
    <t>2nd digit</t>
  </si>
  <si>
    <t>Pool</t>
  </si>
  <si>
    <t>3rd digit</t>
  </si>
  <si>
    <t>LUNCH BREAK (T.B.C.)</t>
  </si>
  <si>
    <t>Draw</t>
    <phoneticPr fontId="49" type="noConversion"/>
  </si>
  <si>
    <t>Draw</t>
    <phoneticPr fontId="49" type="noConversion"/>
  </si>
  <si>
    <t>Draw</t>
    <phoneticPr fontId="49" type="noConversion"/>
  </si>
  <si>
    <r>
      <rPr>
        <b/>
        <sz val="12"/>
        <color indexed="8"/>
        <rFont val="微軟正黑體"/>
        <family val="2"/>
        <charset val="136"/>
      </rPr>
      <t>賽程可能被上周未能完成的賽事之進度影響</t>
    </r>
    <phoneticPr fontId="51" type="noConversion"/>
  </si>
  <si>
    <t>Hong Kong Beach Volleyball Tour GC(1) Time-table</t>
    <phoneticPr fontId="49" type="noConversion"/>
  </si>
  <si>
    <t>E1</t>
    <phoneticPr fontId="49" type="noConversion"/>
  </si>
  <si>
    <t>D1</t>
    <phoneticPr fontId="49" type="noConversion"/>
  </si>
  <si>
    <t>F2</t>
    <phoneticPr fontId="49" type="noConversion"/>
  </si>
  <si>
    <t>E3</t>
    <phoneticPr fontId="49" type="noConversion"/>
  </si>
  <si>
    <t>D3</t>
    <phoneticPr fontId="49" type="noConversion"/>
  </si>
  <si>
    <t>G1</t>
    <phoneticPr fontId="49" type="noConversion"/>
  </si>
  <si>
    <t>H1</t>
    <phoneticPr fontId="49" type="noConversion"/>
  </si>
  <si>
    <t>G2</t>
    <phoneticPr fontId="49" type="noConversion"/>
  </si>
  <si>
    <t>A3</t>
    <phoneticPr fontId="49" type="noConversion"/>
  </si>
  <si>
    <r>
      <rPr>
        <sz val="12"/>
        <color indexed="8"/>
        <rFont val="微軟正黑體"/>
        <family val="2"/>
        <charset val="136"/>
      </rPr>
      <t>開始時間</t>
    </r>
  </si>
  <si>
    <r>
      <rPr>
        <sz val="12"/>
        <color indexed="8"/>
        <rFont val="微軟正黑體"/>
        <family val="2"/>
        <charset val="136"/>
      </rPr>
      <t>序號</t>
    </r>
  </si>
  <si>
    <t>Division</t>
    <phoneticPr fontId="51" type="noConversion"/>
  </si>
  <si>
    <t>4th digit</t>
  </si>
  <si>
    <t>A2</t>
    <phoneticPr fontId="49" type="noConversion"/>
  </si>
  <si>
    <t>B2</t>
    <phoneticPr fontId="49" type="noConversion"/>
  </si>
  <si>
    <t>C2</t>
    <phoneticPr fontId="49" type="noConversion"/>
  </si>
  <si>
    <t>D2</t>
    <phoneticPr fontId="49" type="noConversion"/>
  </si>
  <si>
    <t>E2</t>
    <phoneticPr fontId="49" type="noConversion"/>
  </si>
  <si>
    <t>F2</t>
    <phoneticPr fontId="49" type="noConversion"/>
  </si>
  <si>
    <t>H2</t>
    <phoneticPr fontId="49" type="noConversion"/>
  </si>
  <si>
    <r>
      <t xml:space="preserve">COURT </t>
    </r>
    <r>
      <rPr>
        <sz val="12"/>
        <color indexed="8"/>
        <rFont val="微軟正黑體"/>
        <family val="2"/>
        <charset val="136"/>
      </rPr>
      <t>球場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微軟正黑體"/>
        <family val="2"/>
        <charset val="136"/>
      </rPr>
      <t>黃金海岸</t>
    </r>
    <r>
      <rPr>
        <sz val="12"/>
        <color indexed="8"/>
        <rFont val="Calibri"/>
        <family val="2"/>
      </rPr>
      <t>(</t>
    </r>
    <r>
      <rPr>
        <sz val="12"/>
        <color indexed="8"/>
        <rFont val="微軟正黑體"/>
        <family val="2"/>
        <charset val="136"/>
      </rPr>
      <t>新咖啡灣</t>
    </r>
    <r>
      <rPr>
        <sz val="12"/>
        <color indexed="8"/>
        <rFont val="Calibri"/>
        <family val="2"/>
      </rPr>
      <t>)</t>
    </r>
    <r>
      <rPr>
        <sz val="12"/>
        <color indexed="8"/>
        <rFont val="微軟正黑體"/>
        <family val="2"/>
        <charset val="136"/>
      </rPr>
      <t>泳灘</t>
    </r>
  </si>
  <si>
    <r>
      <rPr>
        <b/>
        <sz val="16"/>
        <rFont val="微軟正黑體"/>
        <family val="2"/>
        <charset val="136"/>
      </rPr>
      <t>第一階段：小組單循環比賽</t>
    </r>
  </si>
  <si>
    <r>
      <rPr>
        <b/>
        <sz val="16"/>
        <color indexed="12"/>
        <rFont val="微軟正黑體"/>
        <family val="2"/>
        <charset val="136"/>
      </rPr>
      <t>種子隊名單</t>
    </r>
    <r>
      <rPr>
        <b/>
        <sz val="16"/>
        <color indexed="12"/>
        <rFont val="Calibri"/>
        <family val="2"/>
      </rPr>
      <t>(</t>
    </r>
    <r>
      <rPr>
        <b/>
        <sz val="16"/>
        <color indexed="12"/>
        <rFont val="微軟正黑體"/>
        <family val="2"/>
        <charset val="136"/>
      </rPr>
      <t>表二</t>
    </r>
    <r>
      <rPr>
        <b/>
        <sz val="16"/>
        <color indexed="12"/>
        <rFont val="Calibri"/>
        <family val="2"/>
      </rPr>
      <t>)</t>
    </r>
  </si>
  <si>
    <r>
      <rPr>
        <b/>
        <sz val="14"/>
        <color indexed="12"/>
        <rFont val="微軟正黑體"/>
        <family val="2"/>
        <charset val="136"/>
      </rPr>
      <t>種子編號</t>
    </r>
  </si>
  <si>
    <r>
      <rPr>
        <b/>
        <sz val="14"/>
        <rFont val="微軟正黑體"/>
        <family val="2"/>
        <charset val="136"/>
      </rPr>
      <t>積分</t>
    </r>
  </si>
  <si>
    <r>
      <rPr>
        <b/>
        <sz val="14"/>
        <rFont val="微軟正黑體"/>
        <family val="2"/>
        <charset val="136"/>
      </rPr>
      <t>抽籤結果</t>
    </r>
  </si>
  <si>
    <r>
      <rPr>
        <b/>
        <sz val="14"/>
        <rFont val="微軟正黑體"/>
        <family val="2"/>
        <charset val="136"/>
      </rPr>
      <t>隊名</t>
    </r>
  </si>
  <si>
    <r>
      <rPr>
        <b/>
        <sz val="14"/>
        <rFont val="微軟正黑體"/>
        <family val="2"/>
        <charset val="136"/>
      </rPr>
      <t>球員</t>
    </r>
    <r>
      <rPr>
        <b/>
        <sz val="14"/>
        <rFont val="Calibri"/>
        <family val="2"/>
      </rPr>
      <t>1</t>
    </r>
  </si>
  <si>
    <r>
      <rPr>
        <b/>
        <sz val="14"/>
        <rFont val="微軟正黑體"/>
        <family val="2"/>
        <charset val="136"/>
      </rPr>
      <t>註冊編號</t>
    </r>
  </si>
  <si>
    <r>
      <rPr>
        <b/>
        <sz val="14"/>
        <rFont val="微軟正黑體"/>
        <family val="2"/>
        <charset val="136"/>
      </rPr>
      <t>球員</t>
    </r>
    <r>
      <rPr>
        <b/>
        <sz val="14"/>
        <rFont val="Calibri"/>
        <family val="2"/>
      </rPr>
      <t>2</t>
    </r>
  </si>
  <si>
    <r>
      <rPr>
        <b/>
        <sz val="14"/>
        <rFont val="微軟正黑體"/>
        <family val="2"/>
        <charset val="136"/>
      </rPr>
      <t>備註</t>
    </r>
  </si>
  <si>
    <r>
      <t>                </t>
    </r>
    <r>
      <rPr>
        <sz val="12"/>
        <color indexed="8"/>
        <rFont val="微軟正黑體"/>
        <family val="2"/>
        <charset val="136"/>
      </rPr>
      <t>單循環比賽中得分由高至低依次排名次。前四名晉身決賽。</t>
    </r>
  </si>
  <si>
    <r>
      <t>a.</t>
    </r>
    <r>
      <rPr>
        <sz val="7"/>
        <color indexed="8"/>
        <rFont val="Calibri"/>
        <family val="2"/>
      </rPr>
      <t xml:space="preserve">        </t>
    </r>
    <r>
      <rPr>
        <sz val="12"/>
        <color indexed="8"/>
        <rFont val="微軟正黑體"/>
        <family val="2"/>
        <charset val="136"/>
      </rPr>
      <t>分組方法：</t>
    </r>
  </si>
  <si>
    <r>
      <t xml:space="preserve">                </t>
    </r>
    <r>
      <rPr>
        <sz val="12"/>
        <color indexed="8"/>
        <rFont val="微軟正黑體"/>
        <family val="2"/>
        <charset val="136"/>
      </rPr>
      <t>第五至八名分別得</t>
    </r>
    <r>
      <rPr>
        <sz val="12"/>
        <color indexed="8"/>
        <rFont val="Calibri"/>
        <family val="2"/>
      </rPr>
      <t>96,90,84,78</t>
    </r>
    <r>
      <rPr>
        <sz val="12"/>
        <color indexed="8"/>
        <rFont val="微軟正黑體"/>
        <family val="2"/>
        <charset val="136"/>
      </rPr>
      <t>種子分</t>
    </r>
  </si>
  <si>
    <t>A1</t>
    <phoneticPr fontId="49" type="noConversion"/>
  </si>
  <si>
    <r>
      <rPr>
        <b/>
        <sz val="18"/>
        <rFont val="微軟正黑體"/>
        <family val="2"/>
        <charset val="136"/>
      </rPr>
      <t>賽程表</t>
    </r>
    <r>
      <rPr>
        <b/>
        <sz val="18"/>
        <rFont val="Calibri"/>
        <family val="2"/>
      </rPr>
      <t xml:space="preserve"> (</t>
    </r>
    <r>
      <rPr>
        <b/>
        <sz val="18"/>
        <rFont val="微軟正黑體"/>
        <family val="2"/>
        <charset val="136"/>
      </rPr>
      <t>男子男組</t>
    </r>
    <r>
      <rPr>
        <b/>
        <sz val="18"/>
        <rFont val="Calibri"/>
        <family val="2"/>
      </rPr>
      <t>)</t>
    </r>
    <phoneticPr fontId="49" type="noConversion"/>
  </si>
  <si>
    <r>
      <rPr>
        <sz val="12"/>
        <rFont val="微軟正黑體"/>
        <family val="2"/>
        <charset val="136"/>
      </rPr>
      <t>局數</t>
    </r>
    <phoneticPr fontId="49" type="noConversion"/>
  </si>
  <si>
    <r>
      <rPr>
        <sz val="12"/>
        <rFont val="微軟正黑體"/>
        <family val="2"/>
        <charset val="136"/>
      </rPr>
      <t>分數</t>
    </r>
    <phoneticPr fontId="49" type="noConversion"/>
  </si>
  <si>
    <r>
      <rPr>
        <sz val="14"/>
        <rFont val="微軟正黑體"/>
        <family val="2"/>
        <charset val="136"/>
      </rPr>
      <t>分組</t>
    </r>
  </si>
  <si>
    <r>
      <rPr>
        <sz val="14"/>
        <rFont val="微軟正黑體"/>
        <family val="2"/>
        <charset val="136"/>
      </rPr>
      <t>對賽隊</t>
    </r>
  </si>
  <si>
    <r>
      <t>                  </t>
    </r>
    <r>
      <rPr>
        <sz val="12"/>
        <rFont val="微軟正黑體"/>
        <family val="2"/>
        <charset val="136"/>
      </rPr>
      <t>小組單循環比賽中得分由高至低依次排名次。首次名晉級。</t>
    </r>
  </si>
  <si>
    <r>
      <t>2.      16</t>
    </r>
    <r>
      <rPr>
        <sz val="12"/>
        <color indexed="8"/>
        <rFont val="微軟正黑體"/>
        <family val="2"/>
        <charset val="136"/>
      </rPr>
      <t>隊進行淘汰賽，賽出</t>
    </r>
    <r>
      <rPr>
        <sz val="12"/>
        <color indexed="8"/>
        <rFont val="Calibri"/>
        <family val="2"/>
      </rPr>
      <t>1</t>
    </r>
    <r>
      <rPr>
        <sz val="12"/>
        <color indexed="8"/>
        <rFont val="微軟正黑體"/>
        <family val="2"/>
        <charset val="136"/>
      </rPr>
      <t>至</t>
    </r>
    <r>
      <rPr>
        <sz val="12"/>
        <color indexed="8"/>
        <rFont val="Calibri"/>
        <family val="2"/>
      </rPr>
      <t>9</t>
    </r>
    <r>
      <rPr>
        <sz val="12"/>
        <color indexed="8"/>
        <rFont val="微軟正黑體"/>
        <family val="2"/>
        <charset val="136"/>
      </rPr>
      <t>名次。</t>
    </r>
  </si>
  <si>
    <r>
      <rPr>
        <b/>
        <sz val="18"/>
        <rFont val="微軟正黑體"/>
        <family val="2"/>
        <charset val="136"/>
      </rPr>
      <t>賽程表</t>
    </r>
    <r>
      <rPr>
        <b/>
        <sz val="18"/>
        <rFont val="Calibri"/>
        <family val="2"/>
      </rPr>
      <t xml:space="preserve"> (</t>
    </r>
    <r>
      <rPr>
        <b/>
        <sz val="18"/>
        <rFont val="微軟正黑體"/>
        <family val="2"/>
        <charset val="136"/>
      </rPr>
      <t>男子乙組</t>
    </r>
    <r>
      <rPr>
        <b/>
        <sz val="18"/>
        <rFont val="Calibri"/>
        <family val="2"/>
      </rPr>
      <t>)</t>
    </r>
  </si>
  <si>
    <r>
      <rPr>
        <sz val="12"/>
        <rFont val="微軟正黑體"/>
        <family val="2"/>
        <charset val="136"/>
      </rPr>
      <t>分組</t>
    </r>
  </si>
  <si>
    <r>
      <rPr>
        <sz val="12"/>
        <rFont val="微軟正黑體"/>
        <family val="2"/>
        <charset val="136"/>
      </rPr>
      <t>對賽隊</t>
    </r>
  </si>
  <si>
    <r>
      <t>I.       </t>
    </r>
    <r>
      <rPr>
        <sz val="14"/>
        <color indexed="8"/>
        <rFont val="微軟正黑體"/>
        <family val="2"/>
        <charset val="136"/>
      </rPr>
      <t>女子乙組：</t>
    </r>
  </si>
  <si>
    <r>
      <t>i</t>
    </r>
    <r>
      <rPr>
        <sz val="12"/>
        <color indexed="8"/>
        <rFont val="微軟正黑體"/>
        <family val="2"/>
        <charset val="136"/>
      </rPr>
      <t>、</t>
    </r>
    <r>
      <rPr>
        <sz val="7"/>
        <color indexed="8"/>
        <rFont val="Calibri"/>
        <family val="2"/>
      </rPr>
      <t xml:space="preserve">                     </t>
    </r>
    <r>
      <rPr>
        <sz val="12"/>
        <color indexed="8"/>
        <rFont val="微軟正黑體"/>
        <family val="2"/>
        <charset val="136"/>
      </rPr>
      <t>以種子分（</t>
    </r>
    <r>
      <rPr>
        <sz val="12"/>
        <color indexed="8"/>
        <rFont val="Calibri"/>
        <family val="2"/>
      </rPr>
      <t>SEEDING POINT</t>
    </r>
    <r>
      <rPr>
        <sz val="12"/>
        <color indexed="8"/>
        <rFont val="微軟正黑體"/>
        <family val="2"/>
        <charset val="136"/>
      </rPr>
      <t>）排列種子隊。</t>
    </r>
  </si>
  <si>
    <r>
      <rPr>
        <sz val="12"/>
        <rFont val="微軟正黑體"/>
        <family val="2"/>
        <charset val="136"/>
      </rPr>
      <t>小組單循環比賽中得分由高至低依次排名次，首次名晉級。</t>
    </r>
    <r>
      <rPr>
        <sz val="12"/>
        <rFont val="Calibri"/>
        <family val="2"/>
      </rPr>
      <t>(</t>
    </r>
    <r>
      <rPr>
        <sz val="12"/>
        <rFont val="微軟正黑體"/>
        <family val="2"/>
        <charset val="136"/>
      </rPr>
      <t>如隊伍成績相同，將進行抽籤</t>
    </r>
    <r>
      <rPr>
        <sz val="12"/>
        <rFont val="Calibri"/>
        <family val="2"/>
      </rPr>
      <t>)</t>
    </r>
  </si>
  <si>
    <r>
      <rPr>
        <sz val="12"/>
        <rFont val="微軟正黑體"/>
        <family val="2"/>
        <charset val="136"/>
      </rPr>
      <t>局數</t>
    </r>
  </si>
  <si>
    <r>
      <rPr>
        <sz val="12"/>
        <rFont val="微軟正黑體"/>
        <family val="2"/>
        <charset val="136"/>
      </rPr>
      <t>分數</t>
    </r>
  </si>
  <si>
    <r>
      <t xml:space="preserve">I.        </t>
    </r>
    <r>
      <rPr>
        <sz val="12"/>
        <color indexed="8"/>
        <rFont val="微軟正黑體"/>
        <family val="2"/>
        <charset val="136"/>
      </rPr>
      <t>男子乙組：</t>
    </r>
  </si>
  <si>
    <r>
      <t xml:space="preserve">a.        </t>
    </r>
    <r>
      <rPr>
        <sz val="12"/>
        <color indexed="8"/>
        <rFont val="微軟正黑體"/>
        <family val="2"/>
        <charset val="136"/>
      </rPr>
      <t>分組方法：</t>
    </r>
  </si>
  <si>
    <r>
      <t>i</t>
    </r>
    <r>
      <rPr>
        <sz val="12"/>
        <color indexed="8"/>
        <rFont val="微軟正黑體"/>
        <family val="2"/>
        <charset val="136"/>
      </rPr>
      <t>、</t>
    </r>
    <r>
      <rPr>
        <sz val="12"/>
        <color indexed="8"/>
        <rFont val="Calibri"/>
        <family val="2"/>
      </rPr>
      <t xml:space="preserve">                        </t>
    </r>
    <r>
      <rPr>
        <sz val="12"/>
        <color indexed="8"/>
        <rFont val="微軟正黑體"/>
        <family val="2"/>
        <charset val="136"/>
      </rPr>
      <t>以種子分（</t>
    </r>
    <r>
      <rPr>
        <sz val="12"/>
        <color indexed="8"/>
        <rFont val="Calibri"/>
        <family val="2"/>
      </rPr>
      <t>SEEDING POINT</t>
    </r>
    <r>
      <rPr>
        <sz val="12"/>
        <color indexed="8"/>
        <rFont val="微軟正黑體"/>
        <family val="2"/>
        <charset val="136"/>
      </rPr>
      <t>）排列種子隊。</t>
    </r>
  </si>
  <si>
    <r>
      <t>ii</t>
    </r>
    <r>
      <rPr>
        <sz val="12"/>
        <rFont val="微軟正黑體"/>
        <family val="2"/>
        <charset val="136"/>
      </rPr>
      <t>、</t>
    </r>
    <r>
      <rPr>
        <sz val="12"/>
        <rFont val="Calibri"/>
        <family val="2"/>
      </rPr>
      <t xml:space="preserve">                    </t>
    </r>
    <r>
      <rPr>
        <sz val="12"/>
        <rFont val="微軟正黑體"/>
        <family val="2"/>
        <charset val="136"/>
      </rPr>
      <t>第</t>
    </r>
    <r>
      <rPr>
        <sz val="12"/>
        <rFont val="Calibri"/>
        <family val="2"/>
      </rPr>
      <t>9</t>
    </r>
    <r>
      <rPr>
        <sz val="12"/>
        <rFont val="微軟正黑體"/>
        <family val="2"/>
        <charset val="136"/>
      </rPr>
      <t>至第</t>
    </r>
    <r>
      <rPr>
        <sz val="12"/>
        <rFont val="Calibri"/>
        <family val="2"/>
      </rPr>
      <t>36</t>
    </r>
    <r>
      <rPr>
        <sz val="12"/>
        <rFont val="微軟正黑體"/>
        <family val="2"/>
        <charset val="136"/>
      </rPr>
      <t>種子依次編入</t>
    </r>
    <r>
      <rPr>
        <sz val="12"/>
        <rFont val="Calibri"/>
        <family val="2"/>
      </rPr>
      <t>A</t>
    </r>
    <r>
      <rPr>
        <sz val="12"/>
        <rFont val="微軟正黑體"/>
        <family val="2"/>
        <charset val="136"/>
      </rPr>
      <t>至</t>
    </r>
    <r>
      <rPr>
        <sz val="12"/>
        <rFont val="Calibri"/>
        <family val="2"/>
      </rPr>
      <t>H</t>
    </r>
    <r>
      <rPr>
        <sz val="12"/>
        <rFont val="微軟正黑體"/>
        <family val="2"/>
        <charset val="136"/>
      </rPr>
      <t>組。</t>
    </r>
  </si>
  <si>
    <r>
      <t xml:space="preserve">COURT </t>
    </r>
    <r>
      <rPr>
        <sz val="12"/>
        <color indexed="8"/>
        <rFont val="微軟正黑體"/>
        <family val="2"/>
        <charset val="136"/>
      </rPr>
      <t>球場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微軟正黑體"/>
        <family val="2"/>
        <charset val="136"/>
      </rPr>
      <t>天業路人造沙灘排球場</t>
    </r>
    <phoneticPr fontId="49" type="noConversion"/>
  </si>
  <si>
    <t>MAA1</t>
  </si>
  <si>
    <t>MAA2</t>
  </si>
  <si>
    <t>MAA3</t>
  </si>
  <si>
    <t>MAA4</t>
  </si>
  <si>
    <t>MAA5</t>
  </si>
  <si>
    <t>WAA1</t>
  </si>
  <si>
    <t>WAA3</t>
  </si>
  <si>
    <t>WAA4</t>
  </si>
  <si>
    <t>MAA6</t>
  </si>
  <si>
    <t>MAA7</t>
  </si>
  <si>
    <t>MAA8</t>
  </si>
  <si>
    <r>
      <t>ii</t>
    </r>
    <r>
      <rPr>
        <sz val="12"/>
        <rFont val="微軟正黑體"/>
        <family val="2"/>
        <charset val="136"/>
      </rPr>
      <t>、</t>
    </r>
    <r>
      <rPr>
        <sz val="7"/>
        <rFont val="Calibri"/>
        <family val="2"/>
      </rPr>
      <t xml:space="preserve">                    </t>
    </r>
    <r>
      <rPr>
        <sz val="12"/>
        <rFont val="微軟正黑體"/>
        <family val="2"/>
        <charset val="136"/>
      </rPr>
      <t>第</t>
    </r>
    <r>
      <rPr>
        <sz val="12"/>
        <rFont val="Calibri"/>
        <family val="2"/>
      </rPr>
      <t>9</t>
    </r>
    <r>
      <rPr>
        <sz val="12"/>
        <rFont val="微軟正黑體"/>
        <family val="2"/>
        <charset val="136"/>
      </rPr>
      <t>至第</t>
    </r>
    <r>
      <rPr>
        <sz val="12"/>
        <rFont val="Calibri"/>
        <family val="2"/>
      </rPr>
      <t>27</t>
    </r>
    <r>
      <rPr>
        <sz val="12"/>
        <rFont val="微軟正黑體"/>
        <family val="2"/>
        <charset val="136"/>
      </rPr>
      <t>種子依次編入</t>
    </r>
    <r>
      <rPr>
        <sz val="12"/>
        <rFont val="Calibri"/>
        <family val="2"/>
      </rPr>
      <t>A</t>
    </r>
    <r>
      <rPr>
        <sz val="12"/>
        <rFont val="微軟正黑體"/>
        <family val="2"/>
        <charset val="136"/>
      </rPr>
      <t>至</t>
    </r>
    <r>
      <rPr>
        <sz val="12"/>
        <rFont val="Calibri"/>
        <family val="2"/>
      </rPr>
      <t>E</t>
    </r>
    <r>
      <rPr>
        <sz val="12"/>
        <rFont val="微軟正黑體"/>
        <family val="2"/>
        <charset val="136"/>
      </rPr>
      <t>組。</t>
    </r>
  </si>
  <si>
    <r>
      <t>1</t>
    </r>
    <r>
      <rPr>
        <u/>
        <vertAlign val="superscript"/>
        <sz val="12"/>
        <color indexed="8"/>
        <rFont val="Calibri"/>
        <family val="2"/>
      </rPr>
      <t>st</t>
    </r>
  </si>
  <si>
    <r>
      <t>2</t>
    </r>
    <r>
      <rPr>
        <u/>
        <vertAlign val="superscript"/>
        <sz val="12"/>
        <color indexed="8"/>
        <rFont val="Calibri"/>
        <family val="2"/>
      </rPr>
      <t>nd</t>
    </r>
  </si>
  <si>
    <r>
      <t>3</t>
    </r>
    <r>
      <rPr>
        <u/>
        <vertAlign val="superscript"/>
        <sz val="12"/>
        <color indexed="8"/>
        <rFont val="Calibri"/>
        <family val="2"/>
      </rPr>
      <t>rd</t>
    </r>
  </si>
  <si>
    <r>
      <t>4</t>
    </r>
    <r>
      <rPr>
        <u/>
        <vertAlign val="superscript"/>
        <sz val="12"/>
        <color indexed="8"/>
        <rFont val="Calibri"/>
        <family val="2"/>
      </rPr>
      <t>th</t>
    </r>
  </si>
  <si>
    <r>
      <t>5</t>
    </r>
    <r>
      <rPr>
        <u/>
        <vertAlign val="superscript"/>
        <sz val="12"/>
        <color indexed="8"/>
        <rFont val="Calibri"/>
        <family val="2"/>
      </rPr>
      <t>th</t>
    </r>
  </si>
  <si>
    <r>
      <t>9</t>
    </r>
    <r>
      <rPr>
        <u/>
        <vertAlign val="superscript"/>
        <sz val="12"/>
        <color indexed="8"/>
        <rFont val="Calibri"/>
        <family val="2"/>
      </rPr>
      <t>th</t>
    </r>
  </si>
  <si>
    <t>SURVIVOR</t>
  </si>
  <si>
    <t>ST</t>
  </si>
  <si>
    <t>Reunion</t>
  </si>
  <si>
    <t>GLORY</t>
  </si>
  <si>
    <t>Yumika</t>
  </si>
  <si>
    <t>VANICA</t>
  </si>
  <si>
    <t>SYNERGY</t>
  </si>
  <si>
    <t>YSYL</t>
  </si>
  <si>
    <t>LAM&amp;ZOE</t>
  </si>
  <si>
    <t>YhtNyi</t>
  </si>
  <si>
    <t xml:space="preserve">Blue team </t>
  </si>
  <si>
    <t>panda</t>
  </si>
  <si>
    <t>CYMCASS</t>
  </si>
  <si>
    <t>CKYK</t>
  </si>
  <si>
    <t>J&amp;M</t>
  </si>
  <si>
    <t>BUTTERFLY S.</t>
  </si>
  <si>
    <t>Ching Chung</t>
  </si>
  <si>
    <t>The Passionate Miami</t>
  </si>
  <si>
    <t>Men</t>
  </si>
  <si>
    <t>Limit</t>
  </si>
  <si>
    <t>F585</t>
  </si>
  <si>
    <t>F675</t>
  </si>
  <si>
    <t>F439</t>
  </si>
  <si>
    <t>F622</t>
  </si>
  <si>
    <t>F750</t>
  </si>
  <si>
    <t>F595</t>
  </si>
  <si>
    <t>F202</t>
  </si>
  <si>
    <t>F631</t>
  </si>
  <si>
    <t>F743</t>
  </si>
  <si>
    <t>F681</t>
  </si>
  <si>
    <t>F599</t>
  </si>
  <si>
    <t>F583</t>
  </si>
  <si>
    <t>F530</t>
  </si>
  <si>
    <t>F260</t>
  </si>
  <si>
    <t>F520</t>
  </si>
  <si>
    <t>F538</t>
  </si>
  <si>
    <t>F660</t>
  </si>
  <si>
    <t>F753</t>
  </si>
  <si>
    <t>F460</t>
  </si>
  <si>
    <t>F584</t>
  </si>
  <si>
    <t>F588</t>
  </si>
  <si>
    <t>F649</t>
  </si>
  <si>
    <t>F142</t>
  </si>
  <si>
    <t>F636</t>
  </si>
  <si>
    <t>F105</t>
  </si>
  <si>
    <t>F757</t>
  </si>
  <si>
    <t>F567</t>
  </si>
  <si>
    <t>F611</t>
  </si>
  <si>
    <t>F735</t>
  </si>
  <si>
    <t>F395</t>
  </si>
  <si>
    <t>F628</t>
  </si>
  <si>
    <t>F609</t>
  </si>
  <si>
    <t>F762</t>
  </si>
  <si>
    <t>F772</t>
  </si>
  <si>
    <t>F437</t>
  </si>
  <si>
    <t>F589</t>
  </si>
  <si>
    <t>F596</t>
  </si>
  <si>
    <t>F153</t>
  </si>
  <si>
    <t>F582</t>
  </si>
  <si>
    <t>F115</t>
  </si>
  <si>
    <t>SCAA YA</t>
  </si>
  <si>
    <t>Zlatan</t>
  </si>
  <si>
    <t>我叫你</t>
  </si>
  <si>
    <t>ALPS - 平均米九</t>
  </si>
  <si>
    <t>SA</t>
  </si>
  <si>
    <t>ALPS - handshake</t>
  </si>
  <si>
    <t>SCAA 99</t>
  </si>
  <si>
    <t>任你隊</t>
  </si>
  <si>
    <t>紅藍</t>
  </si>
  <si>
    <t>LSC</t>
  </si>
  <si>
    <t>SCAA LM</t>
  </si>
  <si>
    <t xml:space="preserve">ALPS - T&amp;W </t>
  </si>
  <si>
    <t>Pak &amp; Ivan</t>
  </si>
  <si>
    <t>微胖大叔</t>
  </si>
  <si>
    <t>米奇與超大隻傑</t>
  </si>
  <si>
    <t>Alps-ZJ</t>
  </si>
  <si>
    <t>Alps-Dr. Chan</t>
  </si>
  <si>
    <t>冧唔冧</t>
  </si>
  <si>
    <t>Samuel&amp;Marcus</t>
  </si>
  <si>
    <t>爸爸隊</t>
  </si>
  <si>
    <t>SCAA x CSUN</t>
  </si>
  <si>
    <t>SCAA K&amp;L</t>
  </si>
  <si>
    <t>呂郭碧鳯</t>
  </si>
  <si>
    <t xml:space="preserve">ALPS - WL </t>
  </si>
  <si>
    <t>HELLO</t>
  </si>
  <si>
    <t>SCAA 嘉昇涷肉</t>
  </si>
  <si>
    <t xml:space="preserve">Alison volleyball </t>
  </si>
  <si>
    <t xml:space="preserve">Alps CAUTION </t>
  </si>
  <si>
    <t>vvE</t>
  </si>
  <si>
    <t>WM</t>
  </si>
  <si>
    <t xml:space="preserve">ALPS YK </t>
  </si>
  <si>
    <t>SKTL</t>
  </si>
  <si>
    <t>Ben &amp; Enoch</t>
  </si>
  <si>
    <t>2R</t>
  </si>
  <si>
    <t>FS</t>
  </si>
  <si>
    <t>YAMM</t>
  </si>
  <si>
    <t>HiHi</t>
  </si>
  <si>
    <t>夢幻組合</t>
  </si>
  <si>
    <t>ALPS_我要買GTR</t>
  </si>
  <si>
    <t>Alps LC</t>
  </si>
  <si>
    <t>企拍</t>
  </si>
  <si>
    <t>撈碧鵰</t>
  </si>
  <si>
    <t>張海鷹</t>
  </si>
  <si>
    <t>黃駿安</t>
  </si>
  <si>
    <t>譚洭倫</t>
  </si>
  <si>
    <t>李健禧</t>
  </si>
  <si>
    <t>蔡國培</t>
  </si>
  <si>
    <t>簡詩恆</t>
  </si>
  <si>
    <t>陸俊勤</t>
  </si>
  <si>
    <t>劉偉文</t>
  </si>
  <si>
    <t>鄭晉宏</t>
  </si>
  <si>
    <t>曾子恆</t>
  </si>
  <si>
    <t>徐錦龍</t>
  </si>
  <si>
    <t>謝鍵泓</t>
  </si>
  <si>
    <t>雲維華</t>
  </si>
  <si>
    <t>程文達</t>
  </si>
  <si>
    <t>劉卓然</t>
  </si>
  <si>
    <t>李梓恆</t>
  </si>
  <si>
    <t>蔡偉傑</t>
  </si>
  <si>
    <t>陳鉅威</t>
  </si>
  <si>
    <t>邱詩皓</t>
  </si>
  <si>
    <t>李晉瑋</t>
  </si>
  <si>
    <t>莫海健</t>
  </si>
  <si>
    <t>陳淦彥</t>
  </si>
  <si>
    <t>甘力軒</t>
  </si>
  <si>
    <t>周志昕</t>
  </si>
  <si>
    <t>林惠龍</t>
  </si>
  <si>
    <t>李智恒</t>
  </si>
  <si>
    <t>陳嘉偉</t>
  </si>
  <si>
    <t>楊子鍵</t>
  </si>
  <si>
    <t>文駿軒</t>
  </si>
  <si>
    <t>薛俊逸</t>
  </si>
  <si>
    <t>麥浩暘</t>
  </si>
  <si>
    <t>饒明淦</t>
  </si>
  <si>
    <t>廖樞麒</t>
  </si>
  <si>
    <t>關梓烽</t>
  </si>
  <si>
    <t>黃俊偉</t>
  </si>
  <si>
    <t>張志坤</t>
  </si>
  <si>
    <t>莊紀來</t>
  </si>
  <si>
    <t>盧淂浚</t>
  </si>
  <si>
    <t>鍾皓聰</t>
  </si>
  <si>
    <t>葉志誠</t>
  </si>
  <si>
    <t>余天樂</t>
  </si>
  <si>
    <t>張綽航</t>
  </si>
  <si>
    <t>黃栢軒</t>
  </si>
  <si>
    <t>陳暐晴</t>
  </si>
  <si>
    <t>M103</t>
  </si>
  <si>
    <t>M291</t>
  </si>
  <si>
    <t>M514</t>
  </si>
  <si>
    <t>M626</t>
  </si>
  <si>
    <t>M870</t>
  </si>
  <si>
    <t>M891</t>
  </si>
  <si>
    <t>M766</t>
  </si>
  <si>
    <t>M629</t>
  </si>
  <si>
    <t>M762</t>
  </si>
  <si>
    <t>M798</t>
  </si>
  <si>
    <t>M224</t>
  </si>
  <si>
    <t>M934</t>
  </si>
  <si>
    <t>M205</t>
  </si>
  <si>
    <t>M880</t>
  </si>
  <si>
    <t>M157</t>
  </si>
  <si>
    <t>M665</t>
  </si>
  <si>
    <t>M751</t>
  </si>
  <si>
    <t>M552</t>
  </si>
  <si>
    <t>M890</t>
  </si>
  <si>
    <t>M332</t>
  </si>
  <si>
    <t>M908</t>
  </si>
  <si>
    <t>M342</t>
  </si>
  <si>
    <t>M642</t>
  </si>
  <si>
    <t>M932</t>
  </si>
  <si>
    <t>M323</t>
  </si>
  <si>
    <t>M685</t>
  </si>
  <si>
    <t>M373</t>
  </si>
  <si>
    <t>M744</t>
  </si>
  <si>
    <t>M311</t>
  </si>
  <si>
    <t>M321</t>
  </si>
  <si>
    <t>M112</t>
  </si>
  <si>
    <t>M229</t>
  </si>
  <si>
    <t>M802</t>
  </si>
  <si>
    <t>M639</t>
  </si>
  <si>
    <t>M621</t>
  </si>
  <si>
    <t>丘至剛</t>
  </si>
  <si>
    <t>梁譽騰</t>
  </si>
  <si>
    <t>蘇俊傑</t>
  </si>
  <si>
    <t>張永暉</t>
  </si>
  <si>
    <t>林琪豐</t>
  </si>
  <si>
    <t>黃震</t>
  </si>
  <si>
    <t>馮力揚</t>
  </si>
  <si>
    <t>陳品全</t>
  </si>
  <si>
    <t>李泯其</t>
  </si>
  <si>
    <t>楊博文</t>
  </si>
  <si>
    <t>黃嘉潤</t>
  </si>
  <si>
    <t>林柏均</t>
  </si>
  <si>
    <t>黃仲德</t>
  </si>
  <si>
    <t>陳煒傑</t>
  </si>
  <si>
    <t>勞永鏗</t>
  </si>
  <si>
    <t>張富鍵</t>
  </si>
  <si>
    <t>陳樂恆</t>
  </si>
  <si>
    <t>李浩林</t>
  </si>
  <si>
    <t>林子聰</t>
  </si>
  <si>
    <t>胡俊冬</t>
  </si>
  <si>
    <t>曾松欽</t>
  </si>
  <si>
    <t>柳凱富</t>
  </si>
  <si>
    <t>黃悅峰</t>
  </si>
  <si>
    <t>王沛林</t>
  </si>
  <si>
    <t>梁焯垣</t>
  </si>
  <si>
    <t>蔡文昇</t>
  </si>
  <si>
    <t>林融</t>
  </si>
  <si>
    <t>陳嘉浩</t>
  </si>
  <si>
    <t>何建邦</t>
  </si>
  <si>
    <t>王澄晞</t>
  </si>
  <si>
    <t>古顯庭</t>
  </si>
  <si>
    <t>莊浩鑫</t>
  </si>
  <si>
    <t>黃冠邦</t>
  </si>
  <si>
    <t>黃英彰</t>
  </si>
  <si>
    <t>鄧浩文</t>
  </si>
  <si>
    <t>林逸朗</t>
  </si>
  <si>
    <t>曾毅斌</t>
  </si>
  <si>
    <t>李宇煌</t>
  </si>
  <si>
    <t>李俊傑</t>
  </si>
  <si>
    <t>李勤昌</t>
  </si>
  <si>
    <t>黃志傑</t>
  </si>
  <si>
    <t>M550</t>
  </si>
  <si>
    <t>M895</t>
  </si>
  <si>
    <t>M624</t>
  </si>
  <si>
    <t>M816</t>
  </si>
  <si>
    <t>M907</t>
  </si>
  <si>
    <t>M781</t>
  </si>
  <si>
    <t>M630</t>
  </si>
  <si>
    <t>M556</t>
  </si>
  <si>
    <t>M179</t>
  </si>
  <si>
    <t>M936</t>
  </si>
  <si>
    <t>M228</t>
  </si>
  <si>
    <t>M670</t>
  </si>
  <si>
    <t>M579</t>
  </si>
  <si>
    <t>M750</t>
  </si>
  <si>
    <t>M663</t>
  </si>
  <si>
    <t>M331</t>
  </si>
  <si>
    <t>M879</t>
  </si>
  <si>
    <t>M931</t>
  </si>
  <si>
    <t>M704</t>
  </si>
  <si>
    <t>M935</t>
  </si>
  <si>
    <t>M887</t>
  </si>
  <si>
    <t>M337</t>
  </si>
  <si>
    <t>M158</t>
  </si>
  <si>
    <t>M667</t>
  </si>
  <si>
    <t>M430</t>
  </si>
  <si>
    <t>M789</t>
  </si>
  <si>
    <t>M806</t>
  </si>
  <si>
    <t>M227</t>
  </si>
  <si>
    <t>M510</t>
  </si>
  <si>
    <t>M202</t>
  </si>
  <si>
    <t>M650</t>
  </si>
  <si>
    <t>M910</t>
  </si>
  <si>
    <t>M330</t>
  </si>
  <si>
    <t>M676</t>
  </si>
  <si>
    <t>M682</t>
  </si>
  <si>
    <t>Thorsten Flaquiere</t>
  </si>
  <si>
    <t>Walter Mosca</t>
  </si>
  <si>
    <t>54 pts</t>
    <phoneticPr fontId="49" type="noConversion"/>
  </si>
  <si>
    <t>M568</t>
    <phoneticPr fontId="49" type="noConversion"/>
  </si>
  <si>
    <t>QT1</t>
  </si>
  <si>
    <t>QT2</t>
  </si>
  <si>
    <t>QT3</t>
  </si>
  <si>
    <r>
      <t xml:space="preserve">COURT </t>
    </r>
    <r>
      <rPr>
        <sz val="12"/>
        <color indexed="8"/>
        <rFont val="微軟正黑體"/>
        <family val="2"/>
        <charset val="136"/>
      </rPr>
      <t>球場</t>
    </r>
    <r>
      <rPr>
        <sz val="12"/>
        <color indexed="8"/>
        <rFont val="Calibri"/>
        <family val="2"/>
      </rPr>
      <t xml:space="preserve"> </t>
    </r>
    <r>
      <rPr>
        <sz val="12"/>
        <color indexed="8"/>
        <rFont val="微軟正黑體"/>
        <family val="2"/>
        <charset val="136"/>
      </rPr>
      <t>天業路人造沙灘排球場</t>
    </r>
  </si>
  <si>
    <t>林灝銘</t>
    <phoneticPr fontId="49" type="noConversion"/>
  </si>
  <si>
    <t>H4, G4, F4, E4, QT1, QT2, QT3, QT4</t>
    <phoneticPr fontId="49" type="noConversion"/>
  </si>
  <si>
    <t>H4, G4, F4, E4, QT1, QT2, QT3, QT4</t>
  </si>
  <si>
    <t>C3</t>
    <phoneticPr fontId="49" type="noConversion"/>
  </si>
  <si>
    <t>B3</t>
    <phoneticPr fontId="49" type="noConversion"/>
  </si>
  <si>
    <t>F4</t>
    <phoneticPr fontId="49" type="noConversion"/>
  </si>
  <si>
    <t>QT1</t>
    <phoneticPr fontId="49" type="noConversion"/>
  </si>
  <si>
    <t>F</t>
    <phoneticPr fontId="49" type="noConversion"/>
  </si>
  <si>
    <t>F1</t>
    <phoneticPr fontId="49" type="noConversion"/>
  </si>
  <si>
    <t>F3</t>
    <phoneticPr fontId="49" type="noConversion"/>
  </si>
  <si>
    <t>E</t>
    <phoneticPr fontId="49" type="noConversion"/>
  </si>
  <si>
    <t>F</t>
    <phoneticPr fontId="49" type="noConversion"/>
  </si>
  <si>
    <t>B1</t>
    <phoneticPr fontId="49" type="noConversion"/>
  </si>
  <si>
    <t>C1</t>
    <phoneticPr fontId="49" type="noConversion"/>
  </si>
  <si>
    <t>WB2</t>
    <phoneticPr fontId="49" type="noConversion"/>
  </si>
  <si>
    <t>WB3</t>
    <phoneticPr fontId="49" type="noConversion"/>
  </si>
  <si>
    <t>WB4</t>
    <phoneticPr fontId="49" type="noConversion"/>
  </si>
  <si>
    <t>WB9</t>
    <phoneticPr fontId="49" type="noConversion"/>
  </si>
  <si>
    <t>WB10</t>
    <phoneticPr fontId="49" type="noConversion"/>
  </si>
  <si>
    <t>WB11</t>
    <phoneticPr fontId="49" type="noConversion"/>
  </si>
  <si>
    <t>WB12</t>
    <phoneticPr fontId="49" type="noConversion"/>
  </si>
  <si>
    <t>WBA6</t>
    <phoneticPr fontId="49" type="noConversion"/>
  </si>
  <si>
    <t>WBA3</t>
    <phoneticPr fontId="49" type="noConversion"/>
  </si>
  <si>
    <t>WBC3</t>
    <phoneticPr fontId="49" type="noConversion"/>
  </si>
  <si>
    <t>WBC2</t>
    <phoneticPr fontId="49" type="noConversion"/>
  </si>
  <si>
    <t>WBA2</t>
    <phoneticPr fontId="49" type="noConversion"/>
  </si>
  <si>
    <t>WBB3</t>
    <phoneticPr fontId="49" type="noConversion"/>
  </si>
  <si>
    <t>WBB2</t>
    <phoneticPr fontId="49" type="noConversion"/>
  </si>
  <si>
    <t>WBB6</t>
    <phoneticPr fontId="49" type="noConversion"/>
  </si>
  <si>
    <t>WBD3</t>
    <phoneticPr fontId="49" type="noConversion"/>
  </si>
  <si>
    <t>WBD2</t>
    <phoneticPr fontId="49" type="noConversion"/>
  </si>
  <si>
    <t>WBC6</t>
    <phoneticPr fontId="49" type="noConversion"/>
  </si>
  <si>
    <t>WBD6</t>
    <phoneticPr fontId="49" type="noConversion"/>
  </si>
  <si>
    <t>WBF1</t>
    <phoneticPr fontId="49" type="noConversion"/>
  </si>
  <si>
    <t>WBF2</t>
    <phoneticPr fontId="49" type="noConversion"/>
  </si>
  <si>
    <t>WBE3</t>
    <phoneticPr fontId="49" type="noConversion"/>
  </si>
  <si>
    <t>WBE2</t>
    <phoneticPr fontId="49" type="noConversion"/>
  </si>
  <si>
    <t>WBE6</t>
    <phoneticPr fontId="49" type="noConversion"/>
  </si>
  <si>
    <t>WBF3</t>
    <phoneticPr fontId="49" type="noConversion"/>
  </si>
  <si>
    <t>WBF5</t>
    <phoneticPr fontId="49" type="noConversion"/>
  </si>
  <si>
    <t>WBF6</t>
    <phoneticPr fontId="49" type="noConversion"/>
  </si>
  <si>
    <t>MBE1</t>
    <phoneticPr fontId="49" type="noConversion"/>
  </si>
  <si>
    <t>MBE2</t>
  </si>
  <si>
    <t>MBE3</t>
  </si>
  <si>
    <t>MBE4</t>
  </si>
  <si>
    <t>MBE5</t>
  </si>
  <si>
    <t>MBE6</t>
  </si>
  <si>
    <t>MBG1</t>
    <phoneticPr fontId="49" type="noConversion"/>
  </si>
  <si>
    <t>MBG2</t>
  </si>
  <si>
    <t>MBG3</t>
  </si>
  <si>
    <t>MBG4</t>
  </si>
  <si>
    <t>MBG5</t>
  </si>
  <si>
    <t>MBG6</t>
  </si>
  <si>
    <t>MBH1</t>
    <phoneticPr fontId="49" type="noConversion"/>
  </si>
  <si>
    <t>MBH2</t>
  </si>
  <si>
    <t>MBH3</t>
    <phoneticPr fontId="49" type="noConversion"/>
  </si>
  <si>
    <t>MBH4</t>
  </si>
  <si>
    <t>MBH5</t>
    <phoneticPr fontId="49" type="noConversion"/>
  </si>
  <si>
    <t>MBH6</t>
  </si>
  <si>
    <t>MBC1</t>
    <phoneticPr fontId="49" type="noConversion"/>
  </si>
  <si>
    <t>MBC2</t>
  </si>
  <si>
    <t>MBC4</t>
  </si>
  <si>
    <t>MBC3</t>
    <phoneticPr fontId="49" type="noConversion"/>
  </si>
  <si>
    <t>MBC5</t>
    <phoneticPr fontId="49" type="noConversion"/>
  </si>
  <si>
    <t>MBC6</t>
  </si>
  <si>
    <t>M843</t>
    <phoneticPr fontId="49" type="noConversion"/>
  </si>
  <si>
    <t>AA4</t>
    <phoneticPr fontId="49" type="noConversion"/>
  </si>
  <si>
    <t>AA5</t>
    <phoneticPr fontId="49" type="noConversion"/>
  </si>
  <si>
    <t>B2,A2,A3,B3,C3,D3,E3,F3,F4</t>
    <phoneticPr fontId="49" type="noConversion"/>
  </si>
  <si>
    <r>
      <t>A-D</t>
    </r>
    <r>
      <rPr>
        <sz val="12"/>
        <color indexed="8"/>
        <rFont val="微軟正黑體"/>
        <family val="2"/>
        <charset val="136"/>
      </rPr>
      <t>組首名直入八強，</t>
    </r>
    <r>
      <rPr>
        <sz val="12"/>
        <color indexed="8"/>
        <rFont val="Calibri"/>
        <family val="2"/>
      </rPr>
      <t>E, F</t>
    </r>
    <r>
      <rPr>
        <sz val="12"/>
        <color indexed="8"/>
        <rFont val="微軟正黑體"/>
        <family val="2"/>
        <charset val="136"/>
      </rPr>
      <t>組首名及</t>
    </r>
    <r>
      <rPr>
        <sz val="12"/>
        <color indexed="8"/>
        <rFont val="Calibri"/>
        <family val="2"/>
      </rPr>
      <t>A-F</t>
    </r>
    <r>
      <rPr>
        <sz val="12"/>
        <color indexed="8"/>
        <rFont val="微軟正黑體"/>
        <family val="2"/>
        <charset val="136"/>
      </rPr>
      <t>次名抽籤進入</t>
    </r>
    <r>
      <rPr>
        <sz val="12"/>
        <color indexed="8"/>
        <rFont val="Calibri"/>
        <family val="2"/>
      </rPr>
      <t>12</t>
    </r>
    <r>
      <rPr>
        <sz val="12"/>
        <color indexed="8"/>
        <rFont val="微軟正黑體"/>
        <family val="2"/>
        <charset val="136"/>
      </rPr>
      <t>強</t>
    </r>
    <phoneticPr fontId="49" type="noConversion"/>
  </si>
  <si>
    <r>
      <t xml:space="preserve">I.        </t>
    </r>
    <r>
      <rPr>
        <sz val="12"/>
        <color indexed="8"/>
        <rFont val="微軟正黑體"/>
        <family val="2"/>
        <charset val="136"/>
      </rPr>
      <t>男子甲組：</t>
    </r>
  </si>
  <si>
    <r>
      <t>ii</t>
    </r>
    <r>
      <rPr>
        <sz val="12"/>
        <color indexed="8"/>
        <rFont val="微軟正黑體"/>
        <family val="2"/>
        <charset val="136"/>
      </rPr>
      <t>、</t>
    </r>
    <r>
      <rPr>
        <sz val="12"/>
        <color indexed="8"/>
        <rFont val="Calibri"/>
        <family val="2"/>
      </rPr>
      <t xml:space="preserve">                    </t>
    </r>
    <r>
      <rPr>
        <sz val="12"/>
        <color indexed="8"/>
        <rFont val="微軟正黑體"/>
        <family val="2"/>
        <charset val="136"/>
      </rPr>
      <t>第</t>
    </r>
    <r>
      <rPr>
        <sz val="12"/>
        <color indexed="8"/>
        <rFont val="Calibri"/>
        <family val="2"/>
      </rPr>
      <t>1</t>
    </r>
    <r>
      <rPr>
        <sz val="12"/>
        <color indexed="8"/>
        <rFont val="微軟正黑體"/>
        <family val="2"/>
        <charset val="136"/>
      </rPr>
      <t>至第</t>
    </r>
    <r>
      <rPr>
        <sz val="12"/>
        <color indexed="8"/>
        <rFont val="Calibri"/>
        <family val="2"/>
      </rPr>
      <t>8</t>
    </r>
    <r>
      <rPr>
        <sz val="12"/>
        <color indexed="8"/>
        <rFont val="微軟正黑體"/>
        <family val="2"/>
        <charset val="136"/>
      </rPr>
      <t>種子依次編入小組</t>
    </r>
    <r>
      <rPr>
        <sz val="12"/>
        <color indexed="8"/>
        <rFont val="Calibri"/>
        <family val="2"/>
      </rPr>
      <t>,</t>
    </r>
    <r>
      <rPr>
        <sz val="12"/>
        <color indexed="8"/>
        <rFont val="微軟正黑體"/>
        <family val="2"/>
        <charset val="136"/>
      </rPr>
      <t>勝</t>
    </r>
    <r>
      <rPr>
        <sz val="12"/>
        <color indexed="8"/>
        <rFont val="Calibri"/>
        <family val="2"/>
      </rPr>
      <t>3</t>
    </r>
    <r>
      <rPr>
        <sz val="12"/>
        <color indexed="8"/>
        <rFont val="微軟正黑體"/>
        <family val="2"/>
        <charset val="136"/>
      </rPr>
      <t>分</t>
    </r>
    <r>
      <rPr>
        <sz val="12"/>
        <color indexed="8"/>
        <rFont val="Calibri"/>
        <family val="2"/>
      </rPr>
      <t>,</t>
    </r>
    <r>
      <rPr>
        <sz val="12"/>
        <color indexed="8"/>
        <rFont val="微軟正黑體"/>
        <family val="2"/>
        <charset val="136"/>
      </rPr>
      <t>和</t>
    </r>
    <r>
      <rPr>
        <sz val="12"/>
        <color indexed="8"/>
        <rFont val="Calibri"/>
        <family val="2"/>
      </rPr>
      <t>1</t>
    </r>
    <r>
      <rPr>
        <sz val="12"/>
        <color indexed="8"/>
        <rFont val="微軟正黑體"/>
        <family val="2"/>
        <charset val="136"/>
      </rPr>
      <t>分</t>
    </r>
    <r>
      <rPr>
        <sz val="12"/>
        <color indexed="8"/>
        <rFont val="Calibri"/>
        <family val="2"/>
      </rPr>
      <t>,</t>
    </r>
    <r>
      <rPr>
        <sz val="12"/>
        <color indexed="8"/>
        <rFont val="微軟正黑體"/>
        <family val="2"/>
        <charset val="136"/>
      </rPr>
      <t>負</t>
    </r>
    <r>
      <rPr>
        <sz val="12"/>
        <color indexed="8"/>
        <rFont val="Calibri"/>
        <family val="2"/>
      </rPr>
      <t>0</t>
    </r>
    <r>
      <rPr>
        <sz val="12"/>
        <color indexed="8"/>
        <rFont val="微軟正黑體"/>
        <family val="2"/>
        <charset val="136"/>
      </rPr>
      <t>分。</t>
    </r>
  </si>
  <si>
    <r>
      <t>2</t>
    </r>
    <r>
      <rPr>
        <sz val="12"/>
        <color indexed="8"/>
        <rFont val="微軟正黑體"/>
        <family val="2"/>
        <charset val="136"/>
      </rPr>
      <t>、</t>
    </r>
    <r>
      <rPr>
        <sz val="12"/>
        <color indexed="8"/>
        <rFont val="Calibri"/>
        <family val="2"/>
      </rPr>
      <t xml:space="preserve">                       </t>
    </r>
    <r>
      <rPr>
        <sz val="12"/>
        <color indexed="8"/>
        <rFont val="微軟正黑體"/>
        <family val="2"/>
        <charset val="136"/>
      </rPr>
      <t>小組首四名交叉對賽</t>
    </r>
    <r>
      <rPr>
        <sz val="12"/>
        <color indexed="8"/>
        <rFont val="Calibri"/>
        <family val="2"/>
      </rPr>
      <t>,</t>
    </r>
    <r>
      <rPr>
        <sz val="12"/>
        <color indexed="8"/>
        <rFont val="微軟正黑體"/>
        <family val="2"/>
        <charset val="136"/>
      </rPr>
      <t>勝者進行冠軍賽</t>
    </r>
    <r>
      <rPr>
        <sz val="12"/>
        <color indexed="8"/>
        <rFont val="Calibri"/>
        <family val="2"/>
      </rPr>
      <t>,</t>
    </r>
    <r>
      <rPr>
        <sz val="12"/>
        <color indexed="8"/>
        <rFont val="微軟正黑體"/>
        <family val="2"/>
        <charset val="136"/>
      </rPr>
      <t>負者進行季軍賽；</t>
    </r>
  </si>
  <si>
    <r>
      <t xml:space="preserve">                </t>
    </r>
    <r>
      <rPr>
        <sz val="12"/>
        <rFont val="微軟正黑體"/>
        <family val="2"/>
        <charset val="136"/>
      </rPr>
      <t>第三名為名次</t>
    </r>
    <r>
      <rPr>
        <sz val="12"/>
        <rFont val="Calibri"/>
        <family val="2"/>
      </rPr>
      <t>17</t>
    </r>
    <r>
      <rPr>
        <sz val="12"/>
        <rFont val="微軟正黑體"/>
        <family val="2"/>
        <charset val="136"/>
      </rPr>
      <t>得</t>
    </r>
    <r>
      <rPr>
        <sz val="12"/>
        <rFont val="Calibri"/>
        <family val="2"/>
      </rPr>
      <t>48</t>
    </r>
    <r>
      <rPr>
        <sz val="12"/>
        <rFont val="微軟正黑體"/>
        <family val="2"/>
        <charset val="136"/>
      </rPr>
      <t>種子分。</t>
    </r>
    <r>
      <rPr>
        <sz val="12"/>
        <rFont val="Calibri"/>
        <family val="2"/>
      </rPr>
      <t xml:space="preserve">                </t>
    </r>
    <r>
      <rPr>
        <sz val="12"/>
        <rFont val="微軟正黑體"/>
        <family val="2"/>
        <charset val="136"/>
      </rPr>
      <t>第四名為名次</t>
    </r>
    <r>
      <rPr>
        <sz val="12"/>
        <rFont val="Calibri"/>
        <family val="2"/>
      </rPr>
      <t>25</t>
    </r>
    <r>
      <rPr>
        <sz val="12"/>
        <rFont val="微軟正黑體"/>
        <family val="2"/>
        <charset val="136"/>
      </rPr>
      <t>得</t>
    </r>
    <r>
      <rPr>
        <sz val="12"/>
        <rFont val="Calibri"/>
        <family val="2"/>
      </rPr>
      <t>36</t>
    </r>
    <r>
      <rPr>
        <sz val="12"/>
        <rFont val="微軟正黑體"/>
        <family val="2"/>
        <charset val="136"/>
      </rPr>
      <t>種子分。</t>
    </r>
  </si>
  <si>
    <r>
      <rPr>
        <sz val="14"/>
        <rFont val="微軟正黑體"/>
        <family val="2"/>
        <charset val="136"/>
      </rPr>
      <t>杜詠彤</t>
    </r>
  </si>
  <si>
    <r>
      <rPr>
        <sz val="14"/>
        <rFont val="微軟正黑體"/>
        <family val="2"/>
        <charset val="136"/>
      </rPr>
      <t>江卓儀</t>
    </r>
  </si>
  <si>
    <r>
      <rPr>
        <sz val="14"/>
        <rFont val="微軟正黑體"/>
        <family val="2"/>
        <charset val="136"/>
      </rPr>
      <t>古蓉蓉</t>
    </r>
  </si>
  <si>
    <r>
      <rPr>
        <sz val="14"/>
        <rFont val="微軟正黑體"/>
        <family val="2"/>
        <charset val="136"/>
      </rPr>
      <t>曾岳羚</t>
    </r>
  </si>
  <si>
    <r>
      <rPr>
        <sz val="14"/>
        <rFont val="微軟正黑體"/>
        <family val="2"/>
        <charset val="136"/>
      </rPr>
      <t>駱純</t>
    </r>
  </si>
  <si>
    <r>
      <rPr>
        <sz val="14"/>
        <rFont val="微軟正黑體"/>
        <family val="2"/>
        <charset val="136"/>
      </rPr>
      <t>袁廷芝</t>
    </r>
  </si>
  <si>
    <r>
      <rPr>
        <sz val="14"/>
        <rFont val="微軟正黑體"/>
        <family val="2"/>
        <charset val="136"/>
      </rPr>
      <t>盧慧茵</t>
    </r>
  </si>
  <si>
    <r>
      <rPr>
        <sz val="14"/>
        <rFont val="微軟正黑體"/>
        <family val="2"/>
        <charset val="136"/>
      </rPr>
      <t>余凱婷</t>
    </r>
  </si>
  <si>
    <r>
      <rPr>
        <sz val="14"/>
        <rFont val="微軟正黑體"/>
        <family val="2"/>
        <charset val="136"/>
      </rPr>
      <t>吳玥嬈</t>
    </r>
  </si>
  <si>
    <r>
      <rPr>
        <sz val="14"/>
        <rFont val="微軟正黑體"/>
        <family val="2"/>
        <charset val="136"/>
      </rPr>
      <t>梁倩橋</t>
    </r>
  </si>
  <si>
    <r>
      <rPr>
        <sz val="14"/>
        <rFont val="微軟正黑體"/>
        <family val="2"/>
        <charset val="136"/>
      </rPr>
      <t>馮可盈</t>
    </r>
  </si>
  <si>
    <r>
      <rPr>
        <sz val="14"/>
        <rFont val="微軟正黑體"/>
        <family val="2"/>
        <charset val="136"/>
      </rPr>
      <t>楊紫霞</t>
    </r>
  </si>
  <si>
    <r>
      <rPr>
        <sz val="14"/>
        <rFont val="微軟正黑體"/>
        <family val="2"/>
        <charset val="136"/>
      </rPr>
      <t>陳秋穎</t>
    </r>
  </si>
  <si>
    <r>
      <rPr>
        <sz val="14"/>
        <rFont val="微軟正黑體"/>
        <family val="2"/>
        <charset val="136"/>
      </rPr>
      <t>劉錦玉</t>
    </r>
  </si>
  <si>
    <r>
      <rPr>
        <sz val="14"/>
        <rFont val="微軟正黑體"/>
        <family val="2"/>
        <charset val="136"/>
      </rPr>
      <t>林穎哲</t>
    </r>
  </si>
  <si>
    <r>
      <rPr>
        <sz val="14"/>
        <rFont val="微軟正黑體"/>
        <family val="2"/>
        <charset val="136"/>
      </rPr>
      <t>筱瑩</t>
    </r>
  </si>
  <si>
    <r>
      <rPr>
        <sz val="14"/>
        <rFont val="微軟正黑體"/>
        <family val="2"/>
        <charset val="136"/>
      </rPr>
      <t>陳筱琳</t>
    </r>
  </si>
  <si>
    <r>
      <rPr>
        <sz val="14"/>
        <rFont val="微軟正黑體"/>
        <family val="2"/>
        <charset val="136"/>
      </rPr>
      <t>馬曉瑩</t>
    </r>
  </si>
  <si>
    <r>
      <rPr>
        <sz val="14"/>
        <rFont val="微軟正黑體"/>
        <family val="2"/>
        <charset val="136"/>
      </rPr>
      <t>周祖因</t>
    </r>
  </si>
  <si>
    <r>
      <rPr>
        <sz val="14"/>
        <rFont val="微軟正黑體"/>
        <family val="2"/>
        <charset val="136"/>
      </rPr>
      <t>林詩敏</t>
    </r>
  </si>
  <si>
    <r>
      <rPr>
        <sz val="14"/>
        <rFont val="微軟正黑體"/>
        <family val="2"/>
        <charset val="136"/>
      </rPr>
      <t>梁詩蕊</t>
    </r>
  </si>
  <si>
    <r>
      <rPr>
        <sz val="14"/>
        <rFont val="微軟正黑體"/>
        <family val="2"/>
        <charset val="136"/>
      </rPr>
      <t>王苑霖</t>
    </r>
  </si>
  <si>
    <r>
      <rPr>
        <sz val="14"/>
        <rFont val="微軟正黑體"/>
        <family val="2"/>
        <charset val="136"/>
      </rPr>
      <t>任頌欣</t>
    </r>
  </si>
  <si>
    <r>
      <rPr>
        <sz val="14"/>
        <rFont val="微軟正黑體"/>
        <family val="2"/>
        <charset val="136"/>
      </rPr>
      <t>劉天慧</t>
    </r>
  </si>
  <si>
    <r>
      <rPr>
        <sz val="14"/>
        <rFont val="微軟正黑體"/>
        <family val="2"/>
        <charset val="136"/>
      </rPr>
      <t>求奇</t>
    </r>
  </si>
  <si>
    <r>
      <rPr>
        <sz val="14"/>
        <rFont val="微軟正黑體"/>
        <family val="2"/>
        <charset val="136"/>
      </rPr>
      <t>吳希瑜</t>
    </r>
  </si>
  <si>
    <r>
      <rPr>
        <sz val="14"/>
        <rFont val="微軟正黑體"/>
        <family val="2"/>
        <charset val="136"/>
      </rPr>
      <t>黃詠雪</t>
    </r>
  </si>
  <si>
    <r>
      <rPr>
        <sz val="14"/>
        <rFont val="微軟正黑體"/>
        <family val="2"/>
        <charset val="136"/>
      </rPr>
      <t>陳綺琪</t>
    </r>
  </si>
  <si>
    <r>
      <rPr>
        <sz val="14"/>
        <rFont val="微軟正黑體"/>
        <family val="2"/>
        <charset val="136"/>
      </rPr>
      <t>陳嘉欣</t>
    </r>
  </si>
  <si>
    <r>
      <rPr>
        <sz val="14"/>
        <rFont val="微軟正黑體"/>
        <family val="2"/>
        <charset val="136"/>
      </rPr>
      <t>布諾珩</t>
    </r>
  </si>
  <si>
    <r>
      <rPr>
        <sz val="14"/>
        <rFont val="微軟正黑體"/>
        <family val="2"/>
        <charset val="136"/>
      </rPr>
      <t>廖美恩</t>
    </r>
  </si>
  <si>
    <r>
      <rPr>
        <sz val="14"/>
        <rFont val="微軟正黑體"/>
        <family val="2"/>
        <charset val="136"/>
      </rPr>
      <t>葉萃茹</t>
    </r>
  </si>
  <si>
    <r>
      <rPr>
        <sz val="14"/>
        <rFont val="微軟正黑體"/>
        <family val="2"/>
        <charset val="136"/>
      </rPr>
      <t>葉萃苓</t>
    </r>
  </si>
  <si>
    <r>
      <rPr>
        <sz val="14"/>
        <rFont val="微軟正黑體"/>
        <family val="2"/>
        <charset val="136"/>
      </rPr>
      <t>周學林</t>
    </r>
  </si>
  <si>
    <r>
      <rPr>
        <sz val="14"/>
        <rFont val="微軟正黑體"/>
        <family val="2"/>
        <charset val="136"/>
      </rPr>
      <t>鄒穎琳</t>
    </r>
  </si>
  <si>
    <r>
      <rPr>
        <sz val="14"/>
        <rFont val="微軟正黑體"/>
        <family val="2"/>
        <charset val="136"/>
      </rPr>
      <t>林淑怡</t>
    </r>
  </si>
  <si>
    <r>
      <rPr>
        <sz val="14"/>
        <rFont val="微軟正黑體"/>
        <family val="2"/>
        <charset val="136"/>
      </rPr>
      <t>石珈甄</t>
    </r>
  </si>
  <si>
    <r>
      <rPr>
        <sz val="14"/>
        <rFont val="微軟正黑體"/>
        <family val="2"/>
        <charset val="136"/>
      </rPr>
      <t>連秀榕</t>
    </r>
  </si>
  <si>
    <r>
      <rPr>
        <sz val="14"/>
        <rFont val="微軟正黑體"/>
        <family val="2"/>
        <charset val="136"/>
      </rPr>
      <t>周紫童</t>
    </r>
    <phoneticPr fontId="49" type="noConversion"/>
  </si>
  <si>
    <r>
      <rPr>
        <sz val="14"/>
        <rFont val="微軟正黑體"/>
        <family val="2"/>
        <charset val="136"/>
      </rPr>
      <t>陳潔怡</t>
    </r>
    <phoneticPr fontId="49" type="noConversion"/>
  </si>
  <si>
    <r>
      <rPr>
        <sz val="14"/>
        <rFont val="微軟正黑體"/>
        <family val="2"/>
        <charset val="136"/>
      </rPr>
      <t>尹子婷</t>
    </r>
    <phoneticPr fontId="49" type="noConversion"/>
  </si>
  <si>
    <r>
      <rPr>
        <sz val="14"/>
        <rFont val="微軟正黑體"/>
        <family val="2"/>
        <charset val="136"/>
      </rPr>
      <t>荃青</t>
    </r>
    <r>
      <rPr>
        <sz val="14"/>
        <rFont val="Calibri"/>
        <family val="2"/>
      </rPr>
      <t>—</t>
    </r>
    <r>
      <rPr>
        <sz val="14"/>
        <rFont val="微軟正黑體"/>
        <family val="2"/>
        <charset val="136"/>
      </rPr>
      <t>黑寶</t>
    </r>
  </si>
  <si>
    <r>
      <rPr>
        <sz val="14"/>
        <rFont val="微軟正黑體"/>
        <family val="2"/>
        <charset val="136"/>
      </rPr>
      <t>李佩珊</t>
    </r>
  </si>
  <si>
    <r>
      <rPr>
        <sz val="14"/>
        <rFont val="微軟正黑體"/>
        <family val="2"/>
        <charset val="136"/>
      </rPr>
      <t>黃寶筠</t>
    </r>
  </si>
  <si>
    <r>
      <rPr>
        <sz val="14"/>
        <rFont val="微軟正黑體"/>
        <family val="2"/>
        <charset val="136"/>
      </rPr>
      <t>陳嬿而</t>
    </r>
  </si>
  <si>
    <r>
      <rPr>
        <sz val="14"/>
        <rFont val="微軟正黑體"/>
        <family val="2"/>
        <charset val="136"/>
      </rPr>
      <t>黎曉彤</t>
    </r>
  </si>
  <si>
    <r>
      <rPr>
        <sz val="14"/>
        <rFont val="微軟正黑體"/>
        <family val="2"/>
        <charset val="136"/>
      </rPr>
      <t>麥糖</t>
    </r>
  </si>
  <si>
    <r>
      <rPr>
        <sz val="14"/>
        <rFont val="微軟正黑體"/>
        <family val="2"/>
        <charset val="136"/>
      </rPr>
      <t>麥詠詩</t>
    </r>
  </si>
  <si>
    <r>
      <rPr>
        <sz val="14"/>
        <rFont val="微軟正黑體"/>
        <family val="2"/>
        <charset val="136"/>
      </rPr>
      <t>洪靖兒</t>
    </r>
  </si>
  <si>
    <r>
      <rPr>
        <sz val="14"/>
        <rFont val="微軟正黑體"/>
        <family val="2"/>
        <charset val="136"/>
      </rPr>
      <t>劉希雯</t>
    </r>
  </si>
  <si>
    <r>
      <rPr>
        <sz val="14"/>
        <rFont val="微軟正黑體"/>
        <family val="2"/>
        <charset val="136"/>
      </rPr>
      <t>黃紫晴</t>
    </r>
  </si>
  <si>
    <r>
      <rPr>
        <sz val="14"/>
        <rFont val="微軟正黑體"/>
        <family val="2"/>
        <charset val="136"/>
      </rPr>
      <t>黎佩瑩</t>
    </r>
  </si>
  <si>
    <r>
      <rPr>
        <sz val="14"/>
        <rFont val="微軟正黑體"/>
        <family val="2"/>
        <charset val="136"/>
      </rPr>
      <t>呂惠敏</t>
    </r>
  </si>
  <si>
    <r>
      <rPr>
        <sz val="14"/>
        <rFont val="微軟正黑體"/>
        <family val="2"/>
        <charset val="136"/>
      </rPr>
      <t>陳靜彤</t>
    </r>
  </si>
  <si>
    <r>
      <rPr>
        <sz val="14"/>
        <rFont val="微軟正黑體"/>
        <family val="2"/>
        <charset val="136"/>
      </rPr>
      <t>陳莉媛</t>
    </r>
  </si>
  <si>
    <r>
      <t xml:space="preserve">I.        </t>
    </r>
    <r>
      <rPr>
        <sz val="12"/>
        <color indexed="8"/>
        <rFont val="微軟正黑體"/>
        <family val="2"/>
        <charset val="136"/>
      </rPr>
      <t>女子甲組：</t>
    </r>
  </si>
  <si>
    <r>
      <rPr>
        <b/>
        <sz val="12"/>
        <rFont val="微軟正黑體"/>
        <family val="2"/>
        <charset val="136"/>
      </rPr>
      <t>賽程表</t>
    </r>
    <r>
      <rPr>
        <b/>
        <sz val="12"/>
        <rFont val="Calibri"/>
        <family val="2"/>
      </rPr>
      <t xml:space="preserve"> (</t>
    </r>
    <r>
      <rPr>
        <b/>
        <sz val="12"/>
        <rFont val="微軟正黑體"/>
        <family val="2"/>
        <charset val="136"/>
      </rPr>
      <t>女子甲組</t>
    </r>
    <r>
      <rPr>
        <b/>
        <sz val="12"/>
        <rFont val="Calibri"/>
        <family val="2"/>
      </rPr>
      <t>)</t>
    </r>
  </si>
  <si>
    <r>
      <rPr>
        <b/>
        <sz val="12"/>
        <rFont val="微軟正黑體"/>
        <family val="2"/>
        <charset val="136"/>
      </rPr>
      <t>賽程表</t>
    </r>
    <r>
      <rPr>
        <b/>
        <sz val="12"/>
        <rFont val="Calibri"/>
        <family val="2"/>
      </rPr>
      <t xml:space="preserve"> (</t>
    </r>
    <r>
      <rPr>
        <b/>
        <sz val="12"/>
        <rFont val="微軟正黑體"/>
        <family val="2"/>
        <charset val="136"/>
      </rPr>
      <t>女子乙組</t>
    </r>
    <r>
      <rPr>
        <b/>
        <sz val="12"/>
        <rFont val="Calibri"/>
        <family val="2"/>
      </rPr>
      <t>)</t>
    </r>
  </si>
  <si>
    <r>
      <t xml:space="preserve">2019/05/11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</rPr>
      <t>)</t>
    </r>
    <phoneticPr fontId="49" type="noConversion"/>
  </si>
  <si>
    <r>
      <t xml:space="preserve">2019/05/12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</rPr>
      <t>)</t>
    </r>
    <phoneticPr fontId="49" type="noConversion"/>
  </si>
  <si>
    <r>
      <t xml:space="preserve">2019/05/18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</rPr>
      <t>)</t>
    </r>
    <phoneticPr fontId="49" type="noConversion"/>
  </si>
  <si>
    <r>
      <t xml:space="preserve">2019/05/19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</rPr>
      <t>)</t>
    </r>
    <phoneticPr fontId="49" type="noConversion"/>
  </si>
  <si>
    <r>
      <t xml:space="preserve">2019/05/25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</rPr>
      <t>)</t>
    </r>
    <phoneticPr fontId="49" type="noConversion"/>
  </si>
  <si>
    <r>
      <t xml:space="preserve">2019/05/26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</rPr>
      <t>)</t>
    </r>
    <phoneticPr fontId="49" type="noConversion"/>
  </si>
  <si>
    <r>
      <rPr>
        <b/>
        <sz val="12"/>
        <rFont val="微軟正黑體"/>
        <family val="2"/>
        <charset val="136"/>
      </rPr>
      <t>香港沙灘排球巡迴賽</t>
    </r>
    <r>
      <rPr>
        <b/>
        <sz val="12"/>
        <rFont val="Calibri"/>
        <family val="2"/>
      </rPr>
      <t xml:space="preserve"> 2019 </t>
    </r>
    <r>
      <rPr>
        <b/>
        <sz val="12"/>
        <rFont val="微軟正黑體"/>
        <family val="2"/>
        <charset val="136"/>
      </rPr>
      <t>黃金</t>
    </r>
    <r>
      <rPr>
        <b/>
        <sz val="12"/>
        <rFont val="Calibri"/>
        <family val="2"/>
      </rPr>
      <t>(</t>
    </r>
    <r>
      <rPr>
        <b/>
        <sz val="12"/>
        <rFont val="微軟正黑體"/>
        <family val="2"/>
        <charset val="136"/>
      </rPr>
      <t>一</t>
    </r>
    <r>
      <rPr>
        <b/>
        <sz val="12"/>
        <rFont val="Calibri"/>
        <family val="2"/>
      </rPr>
      <t xml:space="preserve">) </t>
    </r>
    <r>
      <rPr>
        <b/>
        <sz val="12"/>
        <rFont val="微軟正黑體"/>
        <family val="2"/>
        <charset val="136"/>
      </rPr>
      <t>站</t>
    </r>
  </si>
  <si>
    <r>
      <t xml:space="preserve">M -Men </t>
    </r>
    <r>
      <rPr>
        <sz val="12"/>
        <color indexed="8"/>
        <rFont val="微軟正黑體"/>
        <family val="2"/>
        <charset val="136"/>
      </rPr>
      <t>男</t>
    </r>
  </si>
  <si>
    <r>
      <t>W-Women</t>
    </r>
    <r>
      <rPr>
        <sz val="12"/>
        <color indexed="8"/>
        <rFont val="微軟正黑體"/>
        <family val="2"/>
        <charset val="136"/>
      </rPr>
      <t>女</t>
    </r>
  </si>
  <si>
    <r>
      <rPr>
        <sz val="12"/>
        <color indexed="8"/>
        <rFont val="微軟正黑體"/>
        <family val="2"/>
        <charset val="136"/>
      </rPr>
      <t>組別</t>
    </r>
    <phoneticPr fontId="51" type="noConversion"/>
  </si>
  <si>
    <r>
      <rPr>
        <sz val="12"/>
        <color indexed="8"/>
        <rFont val="微軟正黑體"/>
        <family val="2"/>
        <charset val="136"/>
      </rPr>
      <t>分組</t>
    </r>
  </si>
  <si>
    <r>
      <rPr>
        <sz val="12"/>
        <color indexed="8"/>
        <rFont val="微軟正黑體"/>
        <family val="2"/>
        <charset val="136"/>
      </rPr>
      <t>比賽編號</t>
    </r>
  </si>
  <si>
    <t>其餘賽程稍後公佈</t>
    <phoneticPr fontId="49" type="noConversion"/>
  </si>
  <si>
    <t>WBF4</t>
    <phoneticPr fontId="49" type="noConversion"/>
  </si>
  <si>
    <t>panda NO SHOW</t>
    <phoneticPr fontId="49" type="noConversion"/>
  </si>
  <si>
    <t>16:21, 8:21</t>
    <phoneticPr fontId="49" type="noConversion"/>
  </si>
  <si>
    <t>21:14, 23:21</t>
    <phoneticPr fontId="49" type="noConversion"/>
  </si>
  <si>
    <t>21:11, 17:21</t>
    <phoneticPr fontId="49" type="noConversion"/>
  </si>
  <si>
    <t>15:21, 21:11</t>
    <phoneticPr fontId="49" type="noConversion"/>
  </si>
  <si>
    <t>SYNERGY</t>
    <phoneticPr fontId="49" type="noConversion"/>
  </si>
  <si>
    <t>Ching Chung</t>
    <phoneticPr fontId="49" type="noConversion"/>
  </si>
  <si>
    <t>15:21, 14:21</t>
    <phoneticPr fontId="49" type="noConversion"/>
  </si>
  <si>
    <t>-</t>
    <phoneticPr fontId="49" type="noConversion"/>
  </si>
  <si>
    <t>21:14, 21:9</t>
    <phoneticPr fontId="49" type="noConversion"/>
  </si>
  <si>
    <t>21:9, 11:21</t>
    <phoneticPr fontId="49" type="noConversion"/>
  </si>
  <si>
    <t>The Passionate Miami</t>
    <phoneticPr fontId="49" type="noConversion"/>
  </si>
  <si>
    <t>BUTTERFLY S</t>
    <phoneticPr fontId="49" type="noConversion"/>
  </si>
  <si>
    <t>CYMCASS</t>
    <phoneticPr fontId="49" type="noConversion"/>
  </si>
  <si>
    <t>LAM&amp;ZOE NO SHOW</t>
    <phoneticPr fontId="49" type="noConversion"/>
  </si>
  <si>
    <t>Both teams NO SHOW</t>
    <phoneticPr fontId="49" type="noConversion"/>
  </si>
  <si>
    <t>YSYL NO SHOW</t>
    <phoneticPr fontId="49" type="noConversion"/>
  </si>
  <si>
    <t>Limit</t>
    <phoneticPr fontId="49" type="noConversion"/>
  </si>
  <si>
    <t>J&amp;M NO SHOW</t>
    <phoneticPr fontId="49" type="noConversion"/>
  </si>
  <si>
    <t>CKYK NO SHOW</t>
    <phoneticPr fontId="49" type="noConversion"/>
  </si>
  <si>
    <t>CKYK NO SHOW</t>
    <phoneticPr fontId="49" type="noConversion"/>
  </si>
  <si>
    <t>21:17, 21:23</t>
    <phoneticPr fontId="49" type="noConversion"/>
  </si>
  <si>
    <t>GLORY</t>
    <phoneticPr fontId="49" type="noConversion"/>
  </si>
  <si>
    <t>Reunion</t>
    <phoneticPr fontId="49" type="noConversion"/>
  </si>
  <si>
    <t>LAM&amp;ZOE</t>
    <phoneticPr fontId="49" type="noConversion"/>
  </si>
  <si>
    <t>YSYL</t>
    <phoneticPr fontId="49" type="noConversion"/>
  </si>
  <si>
    <t>J&amp;M</t>
    <phoneticPr fontId="49" type="noConversion"/>
  </si>
  <si>
    <t>VANICA</t>
    <phoneticPr fontId="49" type="noConversion"/>
  </si>
  <si>
    <t>CKYK</t>
    <phoneticPr fontId="49" type="noConversion"/>
  </si>
  <si>
    <t>BYE</t>
    <phoneticPr fontId="49" type="noConversion"/>
  </si>
  <si>
    <t>vs</t>
    <phoneticPr fontId="49" type="noConversion"/>
  </si>
  <si>
    <t>2:15, 9:15</t>
    <phoneticPr fontId="49" type="noConversion"/>
  </si>
  <si>
    <t>HELLO NO SHOW</t>
    <phoneticPr fontId="49" type="noConversion"/>
  </si>
  <si>
    <t>15:2, 15:2</t>
    <phoneticPr fontId="49" type="noConversion"/>
  </si>
  <si>
    <t>6:15, 8:15</t>
    <phoneticPr fontId="49" type="noConversion"/>
  </si>
  <si>
    <t>A4</t>
    <phoneticPr fontId="49" type="noConversion"/>
  </si>
  <si>
    <t>B4</t>
    <phoneticPr fontId="49" type="noConversion"/>
  </si>
  <si>
    <t>C4</t>
    <phoneticPr fontId="49" type="noConversion"/>
  </si>
  <si>
    <t>D4</t>
    <phoneticPr fontId="49" type="noConversion"/>
  </si>
  <si>
    <t>冧唔冧</t>
    <phoneticPr fontId="49" type="noConversion"/>
  </si>
  <si>
    <t>Samuel&amp;Marcus</t>
    <phoneticPr fontId="49" type="noConversion"/>
  </si>
  <si>
    <t>Samuel&amp;Marcus</t>
    <phoneticPr fontId="49" type="noConversion"/>
  </si>
  <si>
    <r>
      <t xml:space="preserve">SCAA </t>
    </r>
    <r>
      <rPr>
        <sz val="14"/>
        <rFont val="細明體"/>
        <family val="3"/>
        <charset val="136"/>
      </rPr>
      <t>嘉昇涷肉</t>
    </r>
    <phoneticPr fontId="49" type="noConversion"/>
  </si>
  <si>
    <r>
      <t xml:space="preserve">SCAA </t>
    </r>
    <r>
      <rPr>
        <sz val="12"/>
        <rFont val="細明體"/>
        <family val="3"/>
        <charset val="136"/>
      </rPr>
      <t>嘉昇涷肉</t>
    </r>
    <phoneticPr fontId="49" type="noConversion"/>
  </si>
  <si>
    <t>呂郭碧鳯</t>
    <phoneticPr fontId="49" type="noConversion"/>
  </si>
  <si>
    <t>呂郭碧鳯</t>
    <phoneticPr fontId="49" type="noConversion"/>
  </si>
  <si>
    <r>
      <rPr>
        <sz val="12"/>
        <rFont val="細明體"/>
        <family val="3"/>
        <charset val="136"/>
      </rPr>
      <t>爸爸隊</t>
    </r>
    <r>
      <rPr>
        <sz val="12"/>
        <rFont val="Calibri"/>
        <family val="2"/>
      </rPr>
      <t xml:space="preserve"> NO SHOW</t>
    </r>
    <phoneticPr fontId="49" type="noConversion"/>
  </si>
  <si>
    <t>21:2, 21:7</t>
    <phoneticPr fontId="49" type="noConversion"/>
  </si>
  <si>
    <t>21:11, 21:6</t>
    <phoneticPr fontId="49" type="noConversion"/>
  </si>
  <si>
    <t>21:15, 21:18</t>
    <phoneticPr fontId="49" type="noConversion"/>
  </si>
  <si>
    <t>SKTL</t>
    <phoneticPr fontId="49" type="noConversion"/>
  </si>
  <si>
    <t>夢幻組合</t>
    <phoneticPr fontId="49" type="noConversion"/>
  </si>
  <si>
    <t>Alison volleyball</t>
    <phoneticPr fontId="49" type="noConversion"/>
  </si>
  <si>
    <t>爸爸隊</t>
    <phoneticPr fontId="49" type="noConversion"/>
  </si>
  <si>
    <r>
      <rPr>
        <b/>
        <sz val="14"/>
        <rFont val="Microsoft YaHei"/>
        <family val="2"/>
        <charset val="136"/>
      </rPr>
      <t>賽事積分</t>
    </r>
    <phoneticPr fontId="49" type="noConversion"/>
  </si>
  <si>
    <r>
      <rPr>
        <b/>
        <sz val="14"/>
        <rFont val="Microsoft YaHei"/>
        <family val="2"/>
        <charset val="136"/>
      </rPr>
      <t>球員積分</t>
    </r>
    <phoneticPr fontId="49" type="noConversion"/>
  </si>
  <si>
    <r>
      <rPr>
        <sz val="12"/>
        <rFont val="微軟正黑體"/>
        <family val="2"/>
        <charset val="136"/>
      </rPr>
      <t>第三名為</t>
    </r>
    <r>
      <rPr>
        <sz val="12"/>
        <rFont val="Calibri"/>
        <family val="2"/>
      </rPr>
      <t>13</t>
    </r>
    <r>
      <rPr>
        <sz val="12"/>
        <rFont val="微軟正黑體"/>
        <family val="2"/>
        <charset val="136"/>
      </rPr>
      <t>名次得</t>
    </r>
    <r>
      <rPr>
        <sz val="12"/>
        <rFont val="Calibri"/>
        <family val="2"/>
      </rPr>
      <t>48</t>
    </r>
    <r>
      <rPr>
        <sz val="12"/>
        <rFont val="微軟正黑體"/>
        <family val="2"/>
        <charset val="136"/>
      </rPr>
      <t>種子分。第四名為名次</t>
    </r>
    <r>
      <rPr>
        <sz val="12"/>
        <rFont val="Calibri"/>
        <family val="2"/>
      </rPr>
      <t>18</t>
    </r>
    <r>
      <rPr>
        <sz val="12"/>
        <rFont val="微軟正黑體"/>
        <family val="2"/>
        <charset val="136"/>
      </rPr>
      <t>得</t>
    </r>
    <r>
      <rPr>
        <sz val="12"/>
        <rFont val="Calibri"/>
        <family val="2"/>
      </rPr>
      <t>36</t>
    </r>
    <r>
      <rPr>
        <sz val="12"/>
        <rFont val="微軟正黑體"/>
        <family val="2"/>
        <charset val="136"/>
      </rPr>
      <t>種子分。</t>
    </r>
    <phoneticPr fontId="49" type="noConversion"/>
  </si>
  <si>
    <r>
      <rPr>
        <sz val="12"/>
        <rFont val="微軟正黑體"/>
        <family val="2"/>
        <charset val="136"/>
      </rPr>
      <t>筱瑩</t>
    </r>
    <phoneticPr fontId="49" type="noConversion"/>
  </si>
  <si>
    <r>
      <rPr>
        <sz val="12"/>
        <rFont val="微軟正黑體"/>
        <family val="2"/>
        <charset val="136"/>
      </rPr>
      <t>麥糖</t>
    </r>
    <phoneticPr fontId="49" type="noConversion"/>
  </si>
  <si>
    <r>
      <rPr>
        <sz val="12"/>
        <rFont val="微軟正黑體"/>
        <family val="2"/>
        <charset val="136"/>
      </rPr>
      <t>求奇</t>
    </r>
    <r>
      <rPr>
        <sz val="12"/>
        <rFont val="Calibri"/>
        <family val="2"/>
      </rPr>
      <t xml:space="preserve"> NO SHOW</t>
    </r>
    <phoneticPr fontId="49" type="noConversion"/>
  </si>
  <si>
    <r>
      <rPr>
        <sz val="12"/>
        <rFont val="微軟正黑體"/>
        <family val="2"/>
        <charset val="136"/>
      </rPr>
      <t>求奇</t>
    </r>
    <phoneticPr fontId="49" type="noConversion"/>
  </si>
  <si>
    <r>
      <t>b.      12</t>
    </r>
    <r>
      <rPr>
        <sz val="12"/>
        <color indexed="8"/>
        <rFont val="微軟正黑體"/>
        <family val="2"/>
        <charset val="136"/>
      </rPr>
      <t>隊進行淘汰賽，賽出</t>
    </r>
    <r>
      <rPr>
        <sz val="12"/>
        <color indexed="8"/>
        <rFont val="Calibri"/>
        <family val="2"/>
      </rPr>
      <t>1</t>
    </r>
    <r>
      <rPr>
        <sz val="12"/>
        <color indexed="8"/>
        <rFont val="微軟正黑體"/>
        <family val="2"/>
        <charset val="136"/>
      </rPr>
      <t>至</t>
    </r>
    <r>
      <rPr>
        <sz val="12"/>
        <color indexed="8"/>
        <rFont val="Calibri"/>
        <family val="2"/>
      </rPr>
      <t>9</t>
    </r>
    <r>
      <rPr>
        <sz val="12"/>
        <color indexed="8"/>
        <rFont val="微軟正黑體"/>
        <family val="2"/>
        <charset val="136"/>
      </rPr>
      <t>名次。</t>
    </r>
    <phoneticPr fontId="49" type="noConversion"/>
  </si>
  <si>
    <r>
      <t xml:space="preserve">2019/06/01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</rPr>
      <t>)</t>
    </r>
    <phoneticPr fontId="49" type="noConversion"/>
  </si>
  <si>
    <r>
      <t xml:space="preserve">2019/06/02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</rPr>
      <t>)</t>
    </r>
    <phoneticPr fontId="49" type="noConversion"/>
  </si>
  <si>
    <t>MAA9</t>
  </si>
  <si>
    <t>WAA5</t>
  </si>
  <si>
    <t>MAA10</t>
  </si>
  <si>
    <t>WAA6</t>
  </si>
  <si>
    <t>MAA11</t>
  </si>
  <si>
    <t>WAA7</t>
  </si>
  <si>
    <t>MAA12</t>
  </si>
  <si>
    <t>WAA8</t>
  </si>
  <si>
    <t>MAA13</t>
  </si>
  <si>
    <t>WAA9</t>
  </si>
  <si>
    <t>MBA1</t>
    <phoneticPr fontId="49" type="noConversion"/>
  </si>
  <si>
    <t>MBA2</t>
  </si>
  <si>
    <t>MAA14</t>
  </si>
  <si>
    <t>WAA10</t>
  </si>
  <si>
    <t>MBB1</t>
    <phoneticPr fontId="49" type="noConversion"/>
  </si>
  <si>
    <t>MBB2</t>
  </si>
  <si>
    <t>MAA15</t>
  </si>
  <si>
    <t>WAA11</t>
  </si>
  <si>
    <t>MBA3</t>
    <phoneticPr fontId="49" type="noConversion"/>
  </si>
  <si>
    <t>MBA4</t>
  </si>
  <si>
    <t>MAA16</t>
  </si>
  <si>
    <t>WAA12</t>
  </si>
  <si>
    <t>MBB3</t>
    <phoneticPr fontId="49" type="noConversion"/>
  </si>
  <si>
    <t>MBB4</t>
  </si>
  <si>
    <t>MBA5</t>
    <phoneticPr fontId="49" type="noConversion"/>
  </si>
  <si>
    <t>MBA6</t>
  </si>
  <si>
    <t>MBB5</t>
    <phoneticPr fontId="49" type="noConversion"/>
  </si>
  <si>
    <t>MBB6</t>
  </si>
  <si>
    <t xml:space="preserve"> </t>
    <phoneticPr fontId="49" type="noConversion"/>
  </si>
  <si>
    <r>
      <t xml:space="preserve">2019/06/08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</rPr>
      <t>)</t>
    </r>
    <phoneticPr fontId="49" type="noConversion"/>
  </si>
  <si>
    <r>
      <t xml:space="preserve">2019/06/09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</rPr>
      <t>)</t>
    </r>
    <phoneticPr fontId="49" type="noConversion"/>
  </si>
  <si>
    <t>MAA17</t>
  </si>
  <si>
    <t>MAA18</t>
  </si>
  <si>
    <t>MAA19</t>
  </si>
  <si>
    <t>MAA20</t>
  </si>
  <si>
    <t>MAA21</t>
  </si>
  <si>
    <t>MAA22</t>
  </si>
  <si>
    <t>MAA23</t>
  </si>
  <si>
    <t>MAA24</t>
  </si>
  <si>
    <r>
      <t xml:space="preserve">2019/06/15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</rPr>
      <t>)</t>
    </r>
    <phoneticPr fontId="49" type="noConversion"/>
  </si>
  <si>
    <r>
      <t xml:space="preserve">2019/06/16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</rPr>
      <t>)</t>
    </r>
    <phoneticPr fontId="49" type="noConversion"/>
  </si>
  <si>
    <t>MBD1</t>
    <phoneticPr fontId="49" type="noConversion"/>
  </si>
  <si>
    <t>MBD2</t>
  </si>
  <si>
    <t>MBF1</t>
    <phoneticPr fontId="49" type="noConversion"/>
  </si>
  <si>
    <t>MBF2</t>
  </si>
  <si>
    <t>MBD3</t>
    <phoneticPr fontId="49" type="noConversion"/>
  </si>
  <si>
    <t>MBD4</t>
  </si>
  <si>
    <t>WB1</t>
    <phoneticPr fontId="49" type="noConversion"/>
  </si>
  <si>
    <t>WB2</t>
  </si>
  <si>
    <t>MBF3</t>
    <phoneticPr fontId="49" type="noConversion"/>
  </si>
  <si>
    <t>WB4</t>
  </si>
  <si>
    <t>MBF4</t>
  </si>
  <si>
    <t>WB5</t>
    <phoneticPr fontId="49" type="noConversion"/>
  </si>
  <si>
    <t>MBD5</t>
    <phoneticPr fontId="49" type="noConversion"/>
  </si>
  <si>
    <t>WB7</t>
    <phoneticPr fontId="49" type="noConversion"/>
  </si>
  <si>
    <t>MBD6</t>
  </si>
  <si>
    <t>MBF5</t>
    <phoneticPr fontId="49" type="noConversion"/>
  </si>
  <si>
    <t>MBF6</t>
  </si>
  <si>
    <t>21:19, 23:21</t>
    <phoneticPr fontId="49" type="noConversion"/>
  </si>
  <si>
    <t>16:21, 16:21</t>
    <phoneticPr fontId="49" type="noConversion"/>
  </si>
  <si>
    <t>FS NO SHOW</t>
    <phoneticPr fontId="49" type="noConversion"/>
  </si>
  <si>
    <t>21:16, 21:16</t>
    <phoneticPr fontId="49" type="noConversion"/>
  </si>
  <si>
    <t>LSC NO SHOW</t>
    <phoneticPr fontId="49" type="noConversion"/>
  </si>
  <si>
    <t>FS</t>
    <phoneticPr fontId="49" type="noConversion"/>
  </si>
  <si>
    <r>
      <t>ALPS-</t>
    </r>
    <r>
      <rPr>
        <sz val="12"/>
        <rFont val="細明體"/>
        <family val="3"/>
        <charset val="136"/>
      </rPr>
      <t>平均米九</t>
    </r>
    <phoneticPr fontId="49" type="noConversion"/>
  </si>
  <si>
    <r>
      <t>ALPS_</t>
    </r>
    <r>
      <rPr>
        <sz val="12"/>
        <rFont val="細明體"/>
        <family val="3"/>
        <charset val="136"/>
      </rPr>
      <t>我要買</t>
    </r>
    <r>
      <rPr>
        <sz val="12"/>
        <rFont val="Calibri"/>
        <family val="2"/>
      </rPr>
      <t>GTR</t>
    </r>
    <phoneticPr fontId="49" type="noConversion"/>
  </si>
  <si>
    <t>LSC</t>
    <phoneticPr fontId="49" type="noConversion"/>
  </si>
  <si>
    <t>紅藍</t>
    <phoneticPr fontId="49" type="noConversion"/>
  </si>
  <si>
    <t>企拍</t>
    <phoneticPr fontId="49" type="noConversion"/>
  </si>
  <si>
    <t>Zlatan</t>
    <phoneticPr fontId="49" type="noConversion"/>
  </si>
  <si>
    <t>SCAA x CSUN</t>
    <phoneticPr fontId="49" type="noConversion"/>
  </si>
  <si>
    <t>21:16, 21:12</t>
    <phoneticPr fontId="49" type="noConversion"/>
  </si>
  <si>
    <t>熱情的麻鷹</t>
    <phoneticPr fontId="49" type="noConversion"/>
  </si>
  <si>
    <r>
      <rPr>
        <sz val="12"/>
        <rFont val="細明體"/>
        <family val="3"/>
        <charset val="136"/>
      </rPr>
      <t>熱情的麻鷹</t>
    </r>
    <r>
      <rPr>
        <sz val="12"/>
        <rFont val="Calibri"/>
        <family val="2"/>
      </rPr>
      <t xml:space="preserve"> NO SHOW</t>
    </r>
    <phoneticPr fontId="49" type="noConversion"/>
  </si>
  <si>
    <t>21:13, 21:14</t>
    <phoneticPr fontId="49" type="noConversion"/>
  </si>
  <si>
    <t>21:10, 12:21</t>
    <phoneticPr fontId="49" type="noConversion"/>
  </si>
  <si>
    <r>
      <rPr>
        <sz val="12"/>
        <rFont val="細明體"/>
        <family val="3"/>
        <charset val="136"/>
      </rPr>
      <t>熱情的麻鷹</t>
    </r>
    <r>
      <rPr>
        <sz val="12"/>
        <rFont val="Calibri"/>
        <family val="2"/>
      </rPr>
      <t xml:space="preserve"> NO SHOW</t>
    </r>
    <phoneticPr fontId="49" type="noConversion"/>
  </si>
  <si>
    <r>
      <rPr>
        <sz val="12"/>
        <rFont val="細明體"/>
        <family val="3"/>
        <charset val="136"/>
      </rPr>
      <t>熱情的麻鷹</t>
    </r>
    <r>
      <rPr>
        <sz val="12"/>
        <rFont val="Calibri"/>
        <family val="2"/>
      </rPr>
      <t xml:space="preserve"> </t>
    </r>
    <phoneticPr fontId="49" type="noConversion"/>
  </si>
  <si>
    <t>ALPS-handshake</t>
    <phoneticPr fontId="49" type="noConversion"/>
  </si>
  <si>
    <t>Ben &amp; Eoach</t>
    <phoneticPr fontId="49" type="noConversion"/>
  </si>
  <si>
    <t>21:7, 21:17</t>
    <phoneticPr fontId="49" type="noConversion"/>
  </si>
  <si>
    <t>Yumika NO SHOW</t>
    <phoneticPr fontId="49" type="noConversion"/>
  </si>
  <si>
    <t>12:21, 14:21</t>
    <phoneticPr fontId="49" type="noConversion"/>
  </si>
  <si>
    <t>21:7, 21:9</t>
    <phoneticPr fontId="49" type="noConversion"/>
  </si>
  <si>
    <t>10.21, 10:21</t>
    <phoneticPr fontId="49" type="noConversion"/>
  </si>
  <si>
    <t>WAA17</t>
    <phoneticPr fontId="49" type="noConversion"/>
  </si>
  <si>
    <t>香港沙灘排球巡迴賽 2019 黃金(一) 站</t>
    <phoneticPr fontId="49" type="noConversion"/>
  </si>
  <si>
    <r>
      <t>i</t>
    </r>
    <r>
      <rPr>
        <sz val="12"/>
        <color indexed="8"/>
        <rFont val="微軟正黑體"/>
        <family val="2"/>
        <charset val="136"/>
      </rPr>
      <t>、</t>
    </r>
    <r>
      <rPr>
        <sz val="12"/>
        <color indexed="8"/>
        <rFont val="Calibri"/>
        <family val="2"/>
      </rPr>
      <t xml:space="preserve">                        </t>
    </r>
    <r>
      <rPr>
        <sz val="12"/>
        <color indexed="8"/>
        <rFont val="微軟正黑體"/>
        <family val="2"/>
        <charset val="136"/>
      </rPr>
      <t>以種子分（</t>
    </r>
    <r>
      <rPr>
        <sz val="12"/>
        <color indexed="8"/>
        <rFont val="Calibri"/>
        <family val="2"/>
      </rPr>
      <t>SEEDING POINT</t>
    </r>
    <r>
      <rPr>
        <sz val="12"/>
        <color indexed="8"/>
        <rFont val="微軟正黑體"/>
        <family val="2"/>
        <charset val="136"/>
      </rPr>
      <t>）排列種子隊。</t>
    </r>
    <phoneticPr fontId="49" type="noConversion"/>
  </si>
  <si>
    <r>
      <t>ii</t>
    </r>
    <r>
      <rPr>
        <sz val="12"/>
        <color indexed="8"/>
        <rFont val="微軟正黑體"/>
        <family val="2"/>
        <charset val="136"/>
      </rPr>
      <t>、</t>
    </r>
    <r>
      <rPr>
        <sz val="12"/>
        <color indexed="8"/>
        <rFont val="Calibri"/>
        <family val="2"/>
      </rPr>
      <t xml:space="preserve">                    </t>
    </r>
    <r>
      <rPr>
        <sz val="12"/>
        <color indexed="8"/>
        <rFont val="微軟正黑體"/>
        <family val="2"/>
        <charset val="136"/>
      </rPr>
      <t>第</t>
    </r>
    <r>
      <rPr>
        <sz val="12"/>
        <color indexed="8"/>
        <rFont val="Calibri"/>
        <family val="2"/>
      </rPr>
      <t>1</t>
    </r>
    <r>
      <rPr>
        <sz val="12"/>
        <color indexed="8"/>
        <rFont val="微軟正黑體"/>
        <family val="2"/>
        <charset val="136"/>
      </rPr>
      <t>至第</t>
    </r>
    <r>
      <rPr>
        <sz val="12"/>
        <color indexed="8"/>
        <rFont val="Calibri"/>
        <family val="2"/>
      </rPr>
      <t>8</t>
    </r>
    <r>
      <rPr>
        <sz val="12"/>
        <color indexed="8"/>
        <rFont val="微軟正黑體"/>
        <family val="2"/>
        <charset val="136"/>
      </rPr>
      <t>種子依次編入小組</t>
    </r>
    <r>
      <rPr>
        <sz val="12"/>
        <color indexed="8"/>
        <rFont val="Calibri"/>
        <family val="2"/>
      </rPr>
      <t>,</t>
    </r>
    <r>
      <rPr>
        <sz val="12"/>
        <color indexed="8"/>
        <rFont val="微軟正黑體"/>
        <family val="2"/>
        <charset val="136"/>
      </rPr>
      <t>勝</t>
    </r>
    <r>
      <rPr>
        <sz val="12"/>
        <color indexed="8"/>
        <rFont val="Calibri"/>
        <family val="2"/>
      </rPr>
      <t>3</t>
    </r>
    <r>
      <rPr>
        <sz val="12"/>
        <color indexed="8"/>
        <rFont val="微軟正黑體"/>
        <family val="2"/>
        <charset val="136"/>
      </rPr>
      <t>分</t>
    </r>
    <r>
      <rPr>
        <sz val="12"/>
        <color indexed="8"/>
        <rFont val="Calibri"/>
        <family val="2"/>
      </rPr>
      <t>,</t>
    </r>
    <r>
      <rPr>
        <sz val="12"/>
        <color indexed="8"/>
        <rFont val="微軟正黑體"/>
        <family val="2"/>
        <charset val="136"/>
      </rPr>
      <t>和</t>
    </r>
    <r>
      <rPr>
        <sz val="12"/>
        <color indexed="8"/>
        <rFont val="Calibri"/>
        <family val="2"/>
      </rPr>
      <t>1</t>
    </r>
    <r>
      <rPr>
        <sz val="12"/>
        <color indexed="8"/>
        <rFont val="微軟正黑體"/>
        <family val="2"/>
        <charset val="136"/>
      </rPr>
      <t>分</t>
    </r>
    <r>
      <rPr>
        <sz val="12"/>
        <color indexed="8"/>
        <rFont val="Calibri"/>
        <family val="2"/>
      </rPr>
      <t>,</t>
    </r>
    <r>
      <rPr>
        <sz val="12"/>
        <color indexed="8"/>
        <rFont val="微軟正黑體"/>
        <family val="2"/>
        <charset val="136"/>
      </rPr>
      <t>負</t>
    </r>
    <r>
      <rPr>
        <sz val="12"/>
        <color indexed="8"/>
        <rFont val="Calibri"/>
        <family val="2"/>
      </rPr>
      <t>0</t>
    </r>
    <r>
      <rPr>
        <sz val="12"/>
        <color indexed="8"/>
        <rFont val="微軟正黑體"/>
        <family val="2"/>
        <charset val="136"/>
      </rPr>
      <t>分。</t>
    </r>
    <phoneticPr fontId="49" type="noConversion"/>
  </si>
  <si>
    <r>
      <t>                </t>
    </r>
    <r>
      <rPr>
        <sz val="12"/>
        <color indexed="8"/>
        <rFont val="微軟正黑體"/>
        <family val="2"/>
        <charset val="136"/>
      </rPr>
      <t>單循環比賽中得分由高至低依次排名次。前四名晉身決賽。</t>
    </r>
    <phoneticPr fontId="49" type="noConversion"/>
  </si>
  <si>
    <r>
      <t>2</t>
    </r>
    <r>
      <rPr>
        <sz val="12"/>
        <color indexed="8"/>
        <rFont val="微軟正黑體"/>
        <family val="2"/>
        <charset val="136"/>
      </rPr>
      <t>、</t>
    </r>
    <r>
      <rPr>
        <sz val="12"/>
        <color indexed="8"/>
        <rFont val="Calibri"/>
        <family val="2"/>
      </rPr>
      <t xml:space="preserve">                       </t>
    </r>
    <r>
      <rPr>
        <sz val="12"/>
        <color indexed="8"/>
        <rFont val="微軟正黑體"/>
        <family val="2"/>
        <charset val="136"/>
      </rPr>
      <t>小組首四名交叉對賽</t>
    </r>
    <r>
      <rPr>
        <sz val="12"/>
        <color indexed="8"/>
        <rFont val="Calibri"/>
        <family val="2"/>
      </rPr>
      <t>,</t>
    </r>
    <r>
      <rPr>
        <sz val="12"/>
        <color indexed="8"/>
        <rFont val="微軟正黑體"/>
        <family val="2"/>
        <charset val="136"/>
      </rPr>
      <t>勝者進行冠軍賽</t>
    </r>
    <r>
      <rPr>
        <sz val="12"/>
        <color indexed="8"/>
        <rFont val="Calibri"/>
        <family val="2"/>
      </rPr>
      <t>,</t>
    </r>
    <r>
      <rPr>
        <sz val="12"/>
        <color indexed="8"/>
        <rFont val="微軟正黑體"/>
        <family val="2"/>
        <charset val="136"/>
      </rPr>
      <t>負者進行季軍賽；</t>
    </r>
    <phoneticPr fontId="49" type="noConversion"/>
  </si>
  <si>
    <t>歐陽瑋欣</t>
    <phoneticPr fontId="49" type="noConversion"/>
  </si>
  <si>
    <r>
      <rPr>
        <sz val="14"/>
        <rFont val="微軟正黑體"/>
        <family val="2"/>
        <charset val="136"/>
      </rPr>
      <t>荃青</t>
    </r>
    <r>
      <rPr>
        <sz val="14"/>
        <rFont val="Calibri"/>
        <family val="2"/>
      </rPr>
      <t>—AYY</t>
    </r>
    <phoneticPr fontId="49" type="noConversion"/>
  </si>
  <si>
    <t>黃雯靖</t>
    <phoneticPr fontId="49" type="noConversion"/>
  </si>
  <si>
    <t>吳詠嵐</t>
    <phoneticPr fontId="49" type="noConversion"/>
  </si>
  <si>
    <t>羚靖</t>
    <phoneticPr fontId="49" type="noConversion"/>
  </si>
  <si>
    <t xml:space="preserve">Acti tape </t>
    <phoneticPr fontId="49" type="noConversion"/>
  </si>
  <si>
    <t>Draw</t>
    <phoneticPr fontId="49" type="noConversion"/>
  </si>
  <si>
    <t>ST</t>
    <phoneticPr fontId="49" type="noConversion"/>
  </si>
  <si>
    <r>
      <rPr>
        <sz val="12"/>
        <rFont val="細明體"/>
        <family val="3"/>
        <charset val="136"/>
      </rPr>
      <t>荃青</t>
    </r>
    <r>
      <rPr>
        <sz val="12"/>
        <rFont val="Calibri"/>
        <family val="2"/>
      </rPr>
      <t>-AYY</t>
    </r>
    <phoneticPr fontId="49" type="noConversion"/>
  </si>
  <si>
    <r>
      <rPr>
        <sz val="12"/>
        <rFont val="細明體"/>
        <family val="3"/>
        <charset val="136"/>
      </rPr>
      <t>羚靖</t>
    </r>
    <phoneticPr fontId="49" type="noConversion"/>
  </si>
  <si>
    <t>Acti tape</t>
    <phoneticPr fontId="49" type="noConversion"/>
  </si>
  <si>
    <t>Yumika</t>
    <phoneticPr fontId="49" type="noConversion"/>
  </si>
  <si>
    <t>Men</t>
    <phoneticPr fontId="49" type="noConversion"/>
  </si>
  <si>
    <t>SURVIVOR</t>
    <phoneticPr fontId="49" type="noConversion"/>
  </si>
  <si>
    <t>YhtNyi</t>
    <phoneticPr fontId="49" type="noConversion"/>
  </si>
  <si>
    <t>荃青—AYY</t>
  </si>
  <si>
    <t>羚靖</t>
  </si>
  <si>
    <t xml:space="preserve">Acti tape </t>
  </si>
  <si>
    <t>總得分</t>
    <phoneticPr fontId="49" type="noConversion"/>
  </si>
  <si>
    <t>總失分</t>
    <phoneticPr fontId="49" type="noConversion"/>
  </si>
  <si>
    <t>得分率</t>
    <phoneticPr fontId="49" type="noConversion"/>
  </si>
  <si>
    <t>21:19, 21:17</t>
    <phoneticPr fontId="49" type="noConversion"/>
  </si>
  <si>
    <t>19:21, 15:21</t>
    <phoneticPr fontId="49" type="noConversion"/>
  </si>
  <si>
    <t>19:21, 12:21</t>
    <phoneticPr fontId="49" type="noConversion"/>
  </si>
  <si>
    <t>21:16, 21:14</t>
    <phoneticPr fontId="49" type="noConversion"/>
  </si>
  <si>
    <t>14:21, 16:21</t>
    <phoneticPr fontId="49" type="noConversion"/>
  </si>
  <si>
    <t>18:21, 13:21</t>
    <phoneticPr fontId="49" type="noConversion"/>
  </si>
  <si>
    <t>21:13, 21:13</t>
    <phoneticPr fontId="49" type="noConversion"/>
  </si>
  <si>
    <t>總失分</t>
    <phoneticPr fontId="49" type="noConversion"/>
  </si>
  <si>
    <t>SA</t>
    <phoneticPr fontId="49" type="noConversion"/>
  </si>
  <si>
    <t xml:space="preserve">Alps CAUTION </t>
    <phoneticPr fontId="49" type="noConversion"/>
  </si>
  <si>
    <t>ALPS-WL</t>
    <phoneticPr fontId="49" type="noConversion"/>
  </si>
  <si>
    <t>2R</t>
    <phoneticPr fontId="49" type="noConversion"/>
  </si>
  <si>
    <t>ALPS-T&amp;W</t>
    <phoneticPr fontId="49" type="noConversion"/>
  </si>
  <si>
    <t>SCAA LM</t>
    <phoneticPr fontId="49" type="noConversion"/>
  </si>
  <si>
    <t xml:space="preserve">ALPS YK </t>
    <phoneticPr fontId="49" type="noConversion"/>
  </si>
  <si>
    <t>Alps-Dr. Chan</t>
    <phoneticPr fontId="49" type="noConversion"/>
  </si>
  <si>
    <t>vvE</t>
    <phoneticPr fontId="49" type="noConversion"/>
  </si>
  <si>
    <t>21:17, 5:21</t>
  </si>
  <si>
    <r>
      <t xml:space="preserve">2019/06/22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</rPr>
      <t>)</t>
    </r>
    <phoneticPr fontId="49" type="noConversion"/>
  </si>
  <si>
    <r>
      <t xml:space="preserve">2019/06/23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</rPr>
      <t>)</t>
    </r>
    <phoneticPr fontId="49" type="noConversion"/>
  </si>
  <si>
    <r>
      <t xml:space="preserve">2019/06/29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</rPr>
      <t>)</t>
    </r>
    <phoneticPr fontId="49" type="noConversion"/>
  </si>
  <si>
    <r>
      <t xml:space="preserve">2019/06/30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</rPr>
      <t>)</t>
    </r>
    <phoneticPr fontId="49" type="noConversion"/>
  </si>
  <si>
    <r>
      <t xml:space="preserve">2019/07/06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</rPr>
      <t>)</t>
    </r>
    <phoneticPr fontId="49" type="noConversion"/>
  </si>
  <si>
    <r>
      <t xml:space="preserve">2019/07/07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</rPr>
      <t>)</t>
    </r>
    <phoneticPr fontId="49" type="noConversion"/>
  </si>
  <si>
    <t>MB1</t>
    <phoneticPr fontId="49" type="noConversion"/>
  </si>
  <si>
    <t>MB3</t>
    <phoneticPr fontId="49" type="noConversion"/>
  </si>
  <si>
    <t>MB5</t>
    <phoneticPr fontId="49" type="noConversion"/>
  </si>
  <si>
    <t>MB7</t>
    <phoneticPr fontId="49" type="noConversion"/>
  </si>
  <si>
    <t>MB9</t>
    <phoneticPr fontId="49" type="noConversion"/>
  </si>
  <si>
    <t>MB11</t>
    <phoneticPr fontId="49" type="noConversion"/>
  </si>
  <si>
    <t>沒有賽事</t>
    <phoneticPr fontId="49" type="noConversion"/>
  </si>
  <si>
    <t>vvE NO SHOW</t>
    <phoneticPr fontId="49" type="noConversion"/>
  </si>
  <si>
    <t>YAMM NO SHOW</t>
    <phoneticPr fontId="49" type="noConversion"/>
  </si>
  <si>
    <t>-</t>
    <phoneticPr fontId="49" type="noConversion"/>
  </si>
  <si>
    <t>21:13, 21:11</t>
    <phoneticPr fontId="49" type="noConversion"/>
  </si>
  <si>
    <t>Alps LC</t>
    <phoneticPr fontId="49" type="noConversion"/>
  </si>
  <si>
    <t>Alps-ZJ</t>
    <phoneticPr fontId="49" type="noConversion"/>
  </si>
  <si>
    <t>YAMM</t>
    <phoneticPr fontId="49" type="noConversion"/>
  </si>
  <si>
    <t>21:13, 21:9</t>
    <phoneticPr fontId="49" type="noConversion"/>
  </si>
  <si>
    <t>21:19, 21:19</t>
    <phoneticPr fontId="49" type="noConversion"/>
  </si>
  <si>
    <t>21:17, 21:14</t>
    <phoneticPr fontId="49" type="noConversion"/>
  </si>
  <si>
    <t>21:17, 21:16</t>
    <phoneticPr fontId="49" type="noConversion"/>
  </si>
  <si>
    <t>13:21, 21:12</t>
    <phoneticPr fontId="49" type="noConversion"/>
  </si>
  <si>
    <t>米奇與大隻仔</t>
    <phoneticPr fontId="49" type="noConversion"/>
  </si>
  <si>
    <t>SCAA K&amp;L</t>
    <phoneticPr fontId="49" type="noConversion"/>
  </si>
  <si>
    <t>WM</t>
    <phoneticPr fontId="49" type="noConversion"/>
  </si>
  <si>
    <t>17:21, 15:21</t>
    <phoneticPr fontId="49" type="noConversion"/>
  </si>
  <si>
    <t>21:11, 21:13</t>
    <phoneticPr fontId="49" type="noConversion"/>
  </si>
  <si>
    <t>19:21, 19:21</t>
    <phoneticPr fontId="49" type="noConversion"/>
  </si>
  <si>
    <t>21:19, 10:21</t>
    <phoneticPr fontId="49" type="noConversion"/>
  </si>
  <si>
    <t>21:13, 19:21</t>
    <phoneticPr fontId="49" type="noConversion"/>
  </si>
  <si>
    <t>25:23, 19:21</t>
    <phoneticPr fontId="49" type="noConversion"/>
  </si>
  <si>
    <t>21:19, 23:25</t>
    <phoneticPr fontId="49" type="noConversion"/>
  </si>
  <si>
    <t>ST withdraw due to player's injury</t>
    <phoneticPr fontId="49" type="noConversion"/>
  </si>
  <si>
    <t>21:8, 21:8</t>
    <phoneticPr fontId="49" type="noConversion"/>
  </si>
  <si>
    <t>13:21, 15:21</t>
    <phoneticPr fontId="49" type="noConversion"/>
  </si>
  <si>
    <t>17:21, 14:21</t>
    <phoneticPr fontId="49" type="noConversion"/>
  </si>
  <si>
    <t>21:10, 21:9</t>
    <phoneticPr fontId="49" type="noConversion"/>
  </si>
  <si>
    <t>16:21, 6:21</t>
    <phoneticPr fontId="49" type="noConversion"/>
  </si>
  <si>
    <t>12:21, 14:21</t>
    <phoneticPr fontId="49" type="noConversion"/>
  </si>
  <si>
    <t>11:21, 13:21</t>
    <phoneticPr fontId="49" type="noConversion"/>
  </si>
  <si>
    <t>20:22, 17:21</t>
    <phoneticPr fontId="49" type="noConversion"/>
  </si>
  <si>
    <t>21:23, 24:22</t>
    <phoneticPr fontId="49" type="noConversion"/>
  </si>
  <si>
    <t>21:19, 21:17</t>
    <phoneticPr fontId="49" type="noConversion"/>
  </si>
  <si>
    <t>18:21, 23:25</t>
    <phoneticPr fontId="49" type="noConversion"/>
  </si>
  <si>
    <t>21:11, 21:11</t>
    <phoneticPr fontId="49" type="noConversion"/>
  </si>
  <si>
    <t>21:12, 14:21</t>
    <phoneticPr fontId="49" type="noConversion"/>
  </si>
  <si>
    <t>21:17, 16:21</t>
    <phoneticPr fontId="49" type="noConversion"/>
  </si>
  <si>
    <t>21:15, 22:20</t>
    <phoneticPr fontId="49" type="noConversion"/>
  </si>
  <si>
    <t>BYE</t>
    <phoneticPr fontId="49" type="noConversion"/>
  </si>
  <si>
    <t>BOTH TEAM NO SHOW</t>
    <phoneticPr fontId="49" type="noConversion"/>
  </si>
  <si>
    <t>21:7, 21:15</t>
    <phoneticPr fontId="49" type="noConversion"/>
  </si>
  <si>
    <t>21:19, 21:14</t>
    <phoneticPr fontId="49" type="noConversion"/>
  </si>
  <si>
    <t>Limit NO SHOW</t>
    <phoneticPr fontId="49" type="noConversion"/>
  </si>
  <si>
    <t>SCAA 99 WITHDRAW</t>
    <phoneticPr fontId="49" type="noConversion"/>
  </si>
  <si>
    <r>
      <rPr>
        <sz val="12"/>
        <rFont val="細明體"/>
        <family val="3"/>
        <charset val="136"/>
      </rPr>
      <t>呂郭碧鳳</t>
    </r>
    <r>
      <rPr>
        <sz val="12"/>
        <rFont val="Calibri"/>
        <family val="2"/>
      </rPr>
      <t xml:space="preserve"> WITHDRAW</t>
    </r>
    <phoneticPr fontId="49" type="noConversion"/>
  </si>
  <si>
    <t>SCAA x CSUN NO SHOW</t>
    <phoneticPr fontId="49" type="noConversion"/>
  </si>
  <si>
    <t>Zlatan NO SHOW</t>
    <phoneticPr fontId="49" type="noConversion"/>
  </si>
  <si>
    <t>呂郭碧鳳</t>
    <phoneticPr fontId="49" type="noConversion"/>
  </si>
  <si>
    <t>SCAA 99</t>
    <phoneticPr fontId="49" type="noConversion"/>
  </si>
  <si>
    <t>21:13, 21:12</t>
    <phoneticPr fontId="49" type="noConversion"/>
  </si>
  <si>
    <t>21:19, 23:21</t>
    <phoneticPr fontId="49" type="noConversion"/>
  </si>
  <si>
    <t>7:21, 13:21</t>
    <phoneticPr fontId="49" type="noConversion"/>
  </si>
  <si>
    <t>SCAA YA</t>
    <phoneticPr fontId="49" type="noConversion"/>
  </si>
  <si>
    <t>撈碧鵰</t>
    <phoneticPr fontId="49" type="noConversion"/>
  </si>
  <si>
    <t>21:12, 21:19</t>
    <phoneticPr fontId="49" type="noConversion"/>
  </si>
  <si>
    <t>22:20, 21:9</t>
    <phoneticPr fontId="49" type="noConversion"/>
  </si>
  <si>
    <t>我叫你</t>
    <phoneticPr fontId="49" type="noConversion"/>
  </si>
  <si>
    <t>Pak &amp; Ivan</t>
    <phoneticPr fontId="49" type="noConversion"/>
  </si>
  <si>
    <t>微胖大叔</t>
    <phoneticPr fontId="49" type="noConversion"/>
  </si>
  <si>
    <r>
      <t xml:space="preserve">2019/07/13 (Saturday </t>
    </r>
    <r>
      <rPr>
        <b/>
        <u/>
        <sz val="12"/>
        <rFont val="微軟正黑體"/>
        <family val="2"/>
        <charset val="136"/>
      </rPr>
      <t>星期六</t>
    </r>
    <r>
      <rPr>
        <b/>
        <u/>
        <sz val="12"/>
        <rFont val="Calibri"/>
        <family val="2"/>
      </rPr>
      <t>)</t>
    </r>
  </si>
  <si>
    <r>
      <t xml:space="preserve">2019/07/14 (Sunday </t>
    </r>
    <r>
      <rPr>
        <b/>
        <u/>
        <sz val="12"/>
        <rFont val="微軟正黑體"/>
        <family val="2"/>
        <charset val="136"/>
      </rPr>
      <t>星期日</t>
    </r>
    <r>
      <rPr>
        <b/>
        <u/>
        <sz val="12"/>
        <rFont val="Calibri"/>
        <family val="2"/>
      </rPr>
      <t>)</t>
    </r>
  </si>
  <si>
    <r>
      <rPr>
        <sz val="12"/>
        <color indexed="8"/>
        <rFont val="微軟正黑體"/>
        <family val="2"/>
        <charset val="136"/>
      </rPr>
      <t>組別</t>
    </r>
  </si>
  <si>
    <t>Division</t>
    <phoneticPr fontId="53" type="noConversion"/>
  </si>
  <si>
    <t>MAA25</t>
  </si>
  <si>
    <t>MAA26</t>
  </si>
  <si>
    <t>MAA27</t>
  </si>
  <si>
    <t>MAA28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</si>
</sst>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;@"/>
    <numFmt numFmtId="165" formatCode="0.00_ "/>
  </numFmts>
  <fonts count="93">
    <font>
      <sz val="12"/>
      <name val="Microsoft YaHei"/>
      <family val="2"/>
      <charset val="136"/>
    </font>
    <font>
      <sz val="12"/>
      <color indexed="8"/>
      <name val="????"/>
      <family val="1"/>
    </font>
    <font>
      <sz val="12"/>
      <color indexed="20"/>
      <name val="????"/>
      <family val="1"/>
    </font>
    <font>
      <sz val="12"/>
      <color indexed="17"/>
      <name val="????"/>
      <family val="1"/>
    </font>
    <font>
      <sz val="12"/>
      <color indexed="60"/>
      <name val="????"/>
      <family val="1"/>
    </font>
    <font>
      <sz val="12"/>
      <name val="????"/>
      <family val="1"/>
      <charset val="136"/>
    </font>
    <font>
      <b/>
      <sz val="15"/>
      <color indexed="56"/>
      <name val="????"/>
      <family val="1"/>
    </font>
    <font>
      <sz val="10"/>
      <color indexed="8"/>
      <name val="Arial"/>
      <family val="2"/>
    </font>
    <font>
      <b/>
      <sz val="13"/>
      <color indexed="56"/>
      <name val="????"/>
      <family val="1"/>
    </font>
    <font>
      <b/>
      <sz val="11"/>
      <color indexed="56"/>
      <name val="????"/>
      <family val="1"/>
    </font>
    <font>
      <sz val="18"/>
      <color indexed="56"/>
      <name val="????"/>
      <family val="1"/>
    </font>
    <font>
      <b/>
      <sz val="12"/>
      <color indexed="8"/>
      <name val="????"/>
      <family val="1"/>
    </font>
    <font>
      <sz val="12"/>
      <color indexed="62"/>
      <name val="????"/>
      <family val="1"/>
    </font>
    <font>
      <b/>
      <sz val="12"/>
      <color indexed="63"/>
      <name val="????"/>
      <family val="1"/>
    </font>
    <font>
      <sz val="12"/>
      <color indexed="9"/>
      <name val="????"/>
      <family val="1"/>
    </font>
    <font>
      <b/>
      <sz val="12"/>
      <color indexed="52"/>
      <name val="????"/>
      <family val="1"/>
    </font>
    <font>
      <i/>
      <sz val="12"/>
      <color indexed="23"/>
      <name val="????"/>
      <family val="1"/>
    </font>
    <font>
      <sz val="12"/>
      <color indexed="10"/>
      <name val="????"/>
      <family val="1"/>
    </font>
    <font>
      <b/>
      <sz val="12"/>
      <color indexed="9"/>
      <name val="????"/>
      <family val="1"/>
    </font>
    <font>
      <sz val="12"/>
      <color indexed="52"/>
      <name val="????"/>
      <family val="1"/>
    </font>
    <font>
      <sz val="12"/>
      <name val="新細明體"/>
      <family val="1"/>
      <charset val="136"/>
    </font>
    <font>
      <sz val="12"/>
      <name val="微軟正黑體"/>
      <family val="2"/>
      <charset val="136"/>
    </font>
    <font>
      <b/>
      <sz val="20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name val="微軟正黑體"/>
      <family val="2"/>
      <charset val="136"/>
    </font>
    <font>
      <sz val="12"/>
      <color indexed="10"/>
      <name val="微軟正黑體"/>
      <family val="2"/>
      <charset val="136"/>
    </font>
    <font>
      <sz val="12"/>
      <color indexed="8"/>
      <name val="微軟正黑體"/>
      <family val="2"/>
      <charset val="136"/>
    </font>
    <font>
      <b/>
      <sz val="16"/>
      <name val="Microsoft YaHei"/>
      <family val="2"/>
      <charset val="136"/>
    </font>
    <font>
      <sz val="14"/>
      <name val="Microsoft YaHei"/>
      <family val="2"/>
      <charset val="136"/>
    </font>
    <font>
      <sz val="14"/>
      <color indexed="12"/>
      <name val="Calibri"/>
      <family val="2"/>
    </font>
    <font>
      <sz val="14"/>
      <name val="Calibri"/>
      <family val="2"/>
    </font>
    <font>
      <sz val="14"/>
      <color indexed="10"/>
      <name val="Calibri"/>
      <family val="2"/>
    </font>
    <font>
      <b/>
      <sz val="14"/>
      <name val="Calibri"/>
      <family val="2"/>
    </font>
    <font>
      <b/>
      <sz val="14"/>
      <color indexed="8"/>
      <name val="Calibri"/>
      <family val="2"/>
    </font>
    <font>
      <sz val="12"/>
      <name val="Calibri"/>
      <family val="2"/>
    </font>
    <font>
      <sz val="16"/>
      <color indexed="10"/>
      <name val="Calibri"/>
      <family val="2"/>
    </font>
    <font>
      <b/>
      <sz val="16"/>
      <name val="Calibri"/>
      <family val="2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4"/>
      <color indexed="8"/>
      <name val="Calibri"/>
      <family val="2"/>
    </font>
    <font>
      <u/>
      <sz val="10"/>
      <color indexed="8"/>
      <name val="Calibri"/>
      <family val="2"/>
    </font>
    <font>
      <sz val="10"/>
      <color indexed="8"/>
      <name val="Calibri"/>
      <family val="2"/>
    </font>
    <font>
      <b/>
      <sz val="18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sz val="12"/>
      <color indexed="12"/>
      <name val="Calibri"/>
      <family val="2"/>
    </font>
    <font>
      <u/>
      <sz val="14"/>
      <color indexed="8"/>
      <name val="Calibri"/>
      <family val="2"/>
    </font>
    <font>
      <b/>
      <u/>
      <sz val="12"/>
      <name val="Calibri"/>
      <family val="2"/>
    </font>
    <font>
      <i/>
      <sz val="12"/>
      <name val="Calibri"/>
      <family val="2"/>
    </font>
    <font>
      <sz val="9"/>
      <name val="Microsoft YaHei"/>
      <family val="2"/>
      <charset val="136"/>
    </font>
    <font>
      <b/>
      <sz val="12"/>
      <color indexed="8"/>
      <name val="微軟正黑體"/>
      <family val="2"/>
      <charset val="136"/>
    </font>
    <font>
      <sz val="9"/>
      <name val="新細明體"/>
      <family val="1"/>
      <charset val="136"/>
    </font>
    <font>
      <b/>
      <sz val="14"/>
      <name val="微軟正黑體"/>
      <family val="2"/>
      <charset val="136"/>
    </font>
    <font>
      <b/>
      <sz val="14"/>
      <color indexed="10"/>
      <name val="Calibri"/>
      <family val="2"/>
    </font>
    <font>
      <b/>
      <sz val="16"/>
      <name val="微軟正黑體"/>
      <family val="2"/>
      <charset val="136"/>
    </font>
    <font>
      <b/>
      <sz val="18"/>
      <name val="微軟正黑體"/>
      <family val="2"/>
      <charset val="136"/>
    </font>
    <font>
      <b/>
      <sz val="16"/>
      <color indexed="12"/>
      <name val="微軟正黑體"/>
      <family val="2"/>
      <charset val="136"/>
    </font>
    <font>
      <b/>
      <sz val="14"/>
      <color indexed="12"/>
      <name val="微軟正黑體"/>
      <family val="2"/>
      <charset val="136"/>
    </font>
    <font>
      <sz val="14"/>
      <name val="微軟正黑體"/>
      <family val="2"/>
      <charset val="136"/>
    </font>
    <font>
      <b/>
      <sz val="18"/>
      <name val="Calibri"/>
      <family val="2"/>
    </font>
    <font>
      <b/>
      <sz val="16"/>
      <color indexed="12"/>
      <name val="Calibri"/>
      <family val="2"/>
    </font>
    <font>
      <b/>
      <sz val="16"/>
      <color indexed="10"/>
      <name val="Calibri"/>
      <family val="2"/>
    </font>
    <font>
      <b/>
      <sz val="14"/>
      <color indexed="12"/>
      <name val="Calibri"/>
      <family val="2"/>
    </font>
    <font>
      <b/>
      <sz val="14"/>
      <color indexed="48"/>
      <name val="Calibri"/>
      <family val="2"/>
    </font>
    <font>
      <sz val="14"/>
      <color indexed="8"/>
      <name val="微軟正黑體"/>
      <family val="2"/>
      <charset val="136"/>
    </font>
    <font>
      <sz val="7"/>
      <color indexed="8"/>
      <name val="Calibri"/>
      <family val="2"/>
    </font>
    <font>
      <sz val="8"/>
      <color indexed="8"/>
      <name val="Calibri"/>
      <family val="2"/>
    </font>
    <font>
      <b/>
      <u/>
      <sz val="12"/>
      <color indexed="8"/>
      <name val="Calibri"/>
      <family val="2"/>
    </font>
    <font>
      <u/>
      <sz val="16"/>
      <name val="Calibri"/>
      <family val="2"/>
    </font>
    <font>
      <b/>
      <i/>
      <sz val="12"/>
      <name val="Calibri"/>
      <family val="2"/>
    </font>
    <font>
      <sz val="7"/>
      <name val="Calibri"/>
      <family val="2"/>
    </font>
    <font>
      <b/>
      <i/>
      <u/>
      <sz val="10"/>
      <color indexed="8"/>
      <name val="Calibri"/>
      <family val="2"/>
    </font>
    <font>
      <b/>
      <sz val="8"/>
      <color indexed="8"/>
      <name val="Calibri"/>
      <family val="2"/>
    </font>
    <font>
      <b/>
      <i/>
      <u/>
      <sz val="8"/>
      <color indexed="8"/>
      <name val="Calibri"/>
      <family val="2"/>
    </font>
    <font>
      <u/>
      <sz val="8"/>
      <color indexed="8"/>
      <name val="Calibri"/>
      <family val="2"/>
    </font>
    <font>
      <sz val="12"/>
      <color indexed="10"/>
      <name val="Calibri"/>
      <family val="2"/>
    </font>
    <font>
      <b/>
      <i/>
      <sz val="12"/>
      <color indexed="8"/>
      <name val="Calibri"/>
      <family val="2"/>
    </font>
    <font>
      <u/>
      <sz val="12"/>
      <color indexed="8"/>
      <name val="Calibri"/>
      <family val="2"/>
    </font>
    <font>
      <b/>
      <i/>
      <u/>
      <sz val="12"/>
      <color indexed="8"/>
      <name val="Calibri"/>
      <family val="2"/>
    </font>
    <font>
      <u/>
      <vertAlign val="superscript"/>
      <sz val="12"/>
      <color indexed="8"/>
      <name val="Calibri"/>
      <family val="2"/>
    </font>
    <font>
      <b/>
      <sz val="12"/>
      <name val="微軟正黑體"/>
      <family val="2"/>
      <charset val="136"/>
    </font>
    <font>
      <b/>
      <u/>
      <sz val="12"/>
      <name val="微軟正黑體"/>
      <family val="2"/>
      <charset val="136"/>
    </font>
    <font>
      <u/>
      <sz val="12"/>
      <name val="Calibri"/>
      <family val="2"/>
    </font>
    <font>
      <b/>
      <sz val="28"/>
      <name val="細明體"/>
      <family val="3"/>
      <charset val="136"/>
    </font>
    <font>
      <b/>
      <sz val="28"/>
      <name val="Calibri"/>
      <family val="2"/>
    </font>
    <font>
      <sz val="12"/>
      <name val="細明體"/>
      <family val="3"/>
      <charset val="136"/>
    </font>
    <font>
      <sz val="14"/>
      <name val="細明體"/>
      <family val="3"/>
      <charset val="136"/>
    </font>
    <font>
      <b/>
      <sz val="14"/>
      <name val="Microsoft YaHei"/>
      <family val="2"/>
      <charset val="136"/>
    </font>
    <font>
      <sz val="48"/>
      <name val="Microsoft JhengHei Light"/>
      <family val="1"/>
      <charset val="136"/>
    </font>
    <font>
      <b/>
      <sz val="14"/>
      <color rgb="FFFF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4"/>
      <color rgb="FFFF0000"/>
      <name val="Calibri"/>
      <family val="2"/>
    </font>
  </fonts>
  <fills count="32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31"/>
        <bgColor indexed="22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52"/>
        <bgColor indexed="51"/>
      </patternFill>
    </fill>
    <fill>
      <patternFill patternType="solid">
        <fgColor indexed="13"/>
        <bgColor indexed="34"/>
      </patternFill>
    </fill>
    <fill>
      <patternFill patternType="solid">
        <fgColor indexed="50"/>
        <bgColor indexed="51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2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double">
        <color indexed="17"/>
      </left>
      <right style="thin">
        <color indexed="8"/>
      </right>
      <top style="double">
        <color indexed="17"/>
      </top>
      <bottom/>
      <diagonal/>
    </border>
    <border>
      <left style="thin">
        <color indexed="8"/>
      </left>
      <right style="thin">
        <color indexed="8"/>
      </right>
      <top style="double">
        <color indexed="17"/>
      </top>
      <bottom/>
      <diagonal/>
    </border>
    <border>
      <left style="double">
        <color indexed="17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17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double">
        <color indexed="17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double">
        <color indexed="17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17"/>
      </top>
      <bottom style="double">
        <color indexed="17"/>
      </bottom>
      <diagonal/>
    </border>
    <border>
      <left style="thin">
        <color indexed="8"/>
      </left>
      <right/>
      <top style="double">
        <color indexed="17"/>
      </top>
      <bottom/>
      <diagonal/>
    </border>
    <border>
      <left style="thin">
        <color indexed="8"/>
      </left>
      <right/>
      <top style="double">
        <color indexed="17"/>
      </top>
      <bottom style="double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17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17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double">
        <color indexed="1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2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20"/>
      </top>
      <bottom/>
      <diagonal/>
    </border>
    <border>
      <left/>
      <right style="thin">
        <color indexed="64"/>
      </right>
      <top/>
      <bottom style="hair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theme="6" tint="-0.249977111117893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17"/>
      </top>
      <bottom style="double">
        <color theme="6" tint="-0.249977111117893"/>
      </bottom>
      <diagonal/>
    </border>
    <border>
      <left style="thin">
        <color indexed="8"/>
      </left>
      <right style="thin">
        <color indexed="8"/>
      </right>
      <top/>
      <bottom style="double">
        <color theme="6" tint="-0.249977111117893"/>
      </bottom>
      <diagonal/>
    </border>
    <border>
      <left style="thin">
        <color indexed="8"/>
      </left>
      <right style="thin">
        <color indexed="8"/>
      </right>
      <top style="thin">
        <color theme="6" tint="-0.499984740745262"/>
      </top>
      <bottom style="double">
        <color theme="6" tint="-0.249977111117893"/>
      </bottom>
      <diagonal/>
    </border>
    <border>
      <left style="thin">
        <color indexed="8"/>
      </left>
      <right/>
      <top style="thin">
        <color theme="6" tint="-0.499984740745262"/>
      </top>
      <bottom style="double">
        <color theme="6" tint="-0.249977111117893"/>
      </bottom>
      <diagonal/>
    </border>
    <border>
      <left style="thin">
        <color indexed="8"/>
      </left>
      <right/>
      <top/>
      <bottom style="double">
        <color theme="6" tint="-0.249977111117893"/>
      </bottom>
      <diagonal/>
    </border>
    <border>
      <left style="thin">
        <color indexed="8"/>
      </left>
      <right/>
      <top style="thin">
        <color theme="6" tint="-0.249977111117893"/>
      </top>
      <bottom style="thin">
        <color indexed="64"/>
      </bottom>
      <diagonal/>
    </border>
    <border>
      <left/>
      <right style="thin">
        <color indexed="8"/>
      </right>
      <top/>
      <bottom style="double">
        <color theme="6" tint="-0.249977111117893"/>
      </bottom>
      <diagonal/>
    </border>
    <border>
      <left/>
      <right style="thin">
        <color indexed="8"/>
      </right>
      <top style="thin">
        <color theme="6" tint="-0.249977111117893"/>
      </top>
      <bottom style="thin">
        <color indexed="64"/>
      </bottom>
      <diagonal/>
    </border>
    <border>
      <left style="thin">
        <color indexed="8"/>
      </left>
      <right/>
      <top style="double">
        <color indexed="17"/>
      </top>
      <bottom style="double">
        <color theme="6" tint="-0.249977111117893"/>
      </bottom>
      <diagonal/>
    </border>
    <border>
      <left style="thin">
        <color indexed="8"/>
      </left>
      <right style="thin">
        <color indexed="8"/>
      </right>
      <top style="double">
        <color indexed="17"/>
      </top>
      <bottom style="thin">
        <color theme="6" tint="-0.249977111117893"/>
      </bottom>
      <diagonal/>
    </border>
    <border>
      <left/>
      <right style="thin">
        <color theme="6" tint="-0.249977111117893"/>
      </right>
      <top/>
      <bottom/>
      <diagonal/>
    </border>
    <border>
      <left/>
      <right style="thin">
        <color theme="6" tint="-0.249977111117893"/>
      </right>
      <top/>
      <bottom style="thin">
        <color indexed="8"/>
      </bottom>
      <diagonal/>
    </border>
  </borders>
  <cellStyleXfs count="55">
    <xf numFmtId="0" fontId="0" fillId="0" borderId="0">
      <alignment vertical="center"/>
    </xf>
    <xf numFmtId="0" fontId="2" fillId="2" borderId="0" applyNumberFormat="0" applyBorder="0" applyProtection="0">
      <alignment vertical="center"/>
    </xf>
    <xf numFmtId="0" fontId="3" fillId="3" borderId="0" applyNumberFormat="0" applyBorder="0" applyProtection="0">
      <alignment vertical="center"/>
    </xf>
    <xf numFmtId="0" fontId="4" fillId="4" borderId="0" applyNumberFormat="0" applyBorder="0" applyProtection="0">
      <alignment vertical="center"/>
    </xf>
    <xf numFmtId="0" fontId="5" fillId="5" borderId="1" applyNumberFormat="0" applyProtection="0">
      <alignment vertical="center"/>
    </xf>
    <xf numFmtId="0" fontId="6" fillId="0" borderId="2" applyNumberFormat="0" applyFill="0" applyProtection="0">
      <alignment vertical="center"/>
    </xf>
    <xf numFmtId="0" fontId="7" fillId="0" borderId="0"/>
    <xf numFmtId="0" fontId="8" fillId="0" borderId="3" applyNumberFormat="0" applyFill="0" applyProtection="0">
      <alignment vertical="center"/>
    </xf>
    <xf numFmtId="0" fontId="1" fillId="0" borderId="0">
      <alignment vertical="center"/>
    </xf>
    <xf numFmtId="0" fontId="9" fillId="0" borderId="4" applyNumberFormat="0" applyFill="0" applyProtection="0">
      <alignment vertical="center"/>
    </xf>
    <xf numFmtId="0" fontId="9" fillId="0" borderId="0" applyNumberFormat="0" applyFill="0" applyBorder="0" applyProtection="0">
      <alignment vertical="center"/>
    </xf>
    <xf numFmtId="0" fontId="10" fillId="0" borderId="0" applyNumberFormat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6" borderId="6" applyNumberFormat="0" applyProtection="0">
      <alignment vertical="center"/>
    </xf>
    <xf numFmtId="0" fontId="13" fillId="7" borderId="7" applyNumberFormat="0" applyProtection="0">
      <alignment vertical="center"/>
    </xf>
    <xf numFmtId="0" fontId="15" fillId="7" borderId="6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7" fillId="0" borderId="0" applyNumberFormat="0" applyFill="0" applyBorder="0" applyProtection="0">
      <alignment vertical="center"/>
    </xf>
    <xf numFmtId="0" fontId="18" fillId="8" borderId="8" applyNumberFormat="0" applyProtection="0">
      <alignment vertical="center"/>
    </xf>
    <xf numFmtId="0" fontId="19" fillId="0" borderId="9" applyNumberFormat="0" applyFill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" fillId="9" borderId="0" applyNumberFormat="0" applyBorder="0" applyProtection="0">
      <alignment vertical="center"/>
    </xf>
    <xf numFmtId="0" fontId="14" fillId="10" borderId="0" applyNumberFormat="0" applyBorder="0" applyProtection="0">
      <alignment vertical="center"/>
    </xf>
    <xf numFmtId="0" fontId="14" fillId="11" borderId="0" applyNumberFormat="0" applyBorder="0" applyProtection="0">
      <alignment vertical="center"/>
    </xf>
    <xf numFmtId="0" fontId="14" fillId="12" borderId="0" applyNumberFormat="0" applyBorder="0" applyProtection="0">
      <alignment vertical="center"/>
    </xf>
    <xf numFmtId="0" fontId="14" fillId="13" borderId="0" applyNumberFormat="0" applyBorder="0" applyProtection="0">
      <alignment vertical="center"/>
    </xf>
    <xf numFmtId="0" fontId="14" fillId="14" borderId="0" applyNumberFormat="0" applyBorder="0" applyProtection="0">
      <alignment vertical="center"/>
    </xf>
    <xf numFmtId="0" fontId="1" fillId="15" borderId="0" applyNumberFormat="0" applyBorder="0" applyProtection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16" borderId="0" applyNumberFormat="0" applyBorder="0" applyProtection="0">
      <alignment vertical="center"/>
    </xf>
    <xf numFmtId="0" fontId="1" fillId="17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18" borderId="0" applyNumberFormat="0" applyBorder="0" applyProtection="0">
      <alignment vertical="center"/>
    </xf>
    <xf numFmtId="0" fontId="1" fillId="19" borderId="0" applyNumberFormat="0" applyBorder="0" applyProtection="0">
      <alignment vertical="center"/>
    </xf>
    <xf numFmtId="0" fontId="1" fillId="20" borderId="0" applyNumberFormat="0" applyBorder="0" applyProtection="0">
      <alignment vertical="center"/>
    </xf>
    <xf numFmtId="0" fontId="1" fillId="16" borderId="0" applyNumberFormat="0" applyBorder="0" applyProtection="0">
      <alignment vertical="center"/>
    </xf>
    <xf numFmtId="0" fontId="1" fillId="18" borderId="0" applyNumberFormat="0" applyBorder="0" applyProtection="0">
      <alignment vertical="center"/>
    </xf>
    <xf numFmtId="0" fontId="1" fillId="21" borderId="0" applyNumberFormat="0" applyBorder="0" applyProtection="0">
      <alignment vertical="center"/>
    </xf>
    <xf numFmtId="0" fontId="1" fillId="22" borderId="0" applyNumberFormat="0" applyBorder="0" applyProtection="0">
      <alignment vertical="center"/>
    </xf>
    <xf numFmtId="0" fontId="1" fillId="19" borderId="0" applyNumberFormat="0" applyBorder="0" applyProtection="0">
      <alignment vertical="center"/>
    </xf>
    <xf numFmtId="0" fontId="1" fillId="20" borderId="0" applyNumberFormat="0" applyBorder="0" applyProtection="0">
      <alignment vertical="center"/>
    </xf>
    <xf numFmtId="0" fontId="1" fillId="12" borderId="0" applyNumberFormat="0" applyBorder="0" applyProtection="0">
      <alignment vertical="center"/>
    </xf>
    <xf numFmtId="0" fontId="1" fillId="13" borderId="0" applyNumberFormat="0" applyBorder="0" applyProtection="0">
      <alignment vertical="center"/>
    </xf>
    <xf numFmtId="0" fontId="1" fillId="23" borderId="0" applyNumberFormat="0" applyBorder="0" applyProtection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</cellStyleXfs>
  <cellXfs count="68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0" xfId="0" applyFont="1">
      <alignment vertical="center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vertical="top" wrapText="1"/>
    </xf>
    <xf numFmtId="0" fontId="24" fillId="0" borderId="0" xfId="0" applyFont="1" applyAlignment="1">
      <alignment horizontal="left" vertical="top" wrapText="1"/>
    </xf>
    <xf numFmtId="0" fontId="23" fillId="0" borderId="0" xfId="0" applyFont="1" applyAlignment="1">
      <alignment vertical="top" wrapText="1"/>
    </xf>
    <xf numFmtId="0" fontId="24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>
      <alignment vertical="center"/>
    </xf>
    <xf numFmtId="0" fontId="25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30" fillId="17" borderId="10" xfId="0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30" fillId="0" borderId="12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32" fillId="24" borderId="14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1" fillId="0" borderId="15" xfId="0" applyFont="1" applyBorder="1" applyAlignment="1">
      <alignment horizontal="center" vertical="center"/>
    </xf>
    <xf numFmtId="0" fontId="32" fillId="24" borderId="16" xfId="0" applyFont="1" applyFill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4" borderId="13" xfId="0" applyFont="1" applyFill="1" applyBorder="1" applyAlignment="1">
      <alignment horizontal="center" vertical="center"/>
    </xf>
    <xf numFmtId="0" fontId="30" fillId="4" borderId="12" xfId="0" applyFont="1" applyFill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0" fontId="30" fillId="4" borderId="20" xfId="0" applyFont="1" applyFill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/>
    </xf>
    <xf numFmtId="0" fontId="30" fillId="25" borderId="10" xfId="0" applyFont="1" applyFill="1" applyBorder="1" applyAlignment="1">
      <alignment horizontal="center"/>
    </xf>
    <xf numFmtId="0" fontId="29" fillId="0" borderId="10" xfId="0" applyFont="1" applyBorder="1" applyAlignment="1">
      <alignment horizontal="center" vertical="center"/>
    </xf>
    <xf numFmtId="0" fontId="35" fillId="4" borderId="10" xfId="0" applyFont="1" applyFill="1" applyBorder="1" applyAlignment="1">
      <alignment horizontal="center" vertical="center"/>
    </xf>
    <xf numFmtId="0" fontId="32" fillId="0" borderId="10" xfId="0" applyFont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29" fillId="0" borderId="10" xfId="0" applyFont="1" applyBorder="1" applyAlignment="1">
      <alignment horizontal="center" vertical="top" wrapText="1"/>
    </xf>
    <xf numFmtId="0" fontId="0" fillId="0" borderId="21" xfId="0" applyBorder="1">
      <alignment vertical="center"/>
    </xf>
    <xf numFmtId="0" fontId="37" fillId="0" borderId="0" xfId="25" applyFont="1"/>
    <xf numFmtId="0" fontId="37" fillId="0" borderId="0" xfId="25" applyFont="1" applyAlignment="1">
      <alignment horizontal="center"/>
    </xf>
    <xf numFmtId="0" fontId="42" fillId="0" borderId="0" xfId="20" applyFont="1"/>
    <xf numFmtId="0" fontId="34" fillId="0" borderId="10" xfId="20" applyFont="1" applyBorder="1" applyAlignment="1">
      <alignment horizontal="center"/>
    </xf>
    <xf numFmtId="0" fontId="34" fillId="0" borderId="15" xfId="20" applyFont="1" applyBorder="1" applyAlignment="1">
      <alignment horizontal="center"/>
    </xf>
    <xf numFmtId="0" fontId="34" fillId="0" borderId="11" xfId="20" applyFont="1" applyBorder="1" applyAlignment="1">
      <alignment horizontal="center"/>
    </xf>
    <xf numFmtId="0" fontId="34" fillId="0" borderId="22" xfId="20" applyFont="1" applyBorder="1" applyAlignment="1">
      <alignment horizontal="center"/>
    </xf>
    <xf numFmtId="0" fontId="34" fillId="0" borderId="0" xfId="20" applyFont="1" applyAlignment="1">
      <alignment horizontal="right"/>
    </xf>
    <xf numFmtId="0" fontId="34" fillId="0" borderId="0" xfId="20" applyFont="1" applyAlignment="1">
      <alignment horizontal="left"/>
    </xf>
    <xf numFmtId="0" fontId="34" fillId="0" borderId="23" xfId="20" applyFont="1" applyBorder="1" applyAlignment="1">
      <alignment horizontal="center"/>
    </xf>
    <xf numFmtId="0" fontId="34" fillId="0" borderId="24" xfId="20" applyFont="1" applyBorder="1" applyAlignment="1">
      <alignment horizontal="center"/>
    </xf>
    <xf numFmtId="0" fontId="34" fillId="0" borderId="25" xfId="20" applyFont="1" applyBorder="1" applyAlignment="1">
      <alignment horizontal="center"/>
    </xf>
    <xf numFmtId="0" fontId="34" fillId="0" borderId="26" xfId="20" applyFont="1" applyBorder="1" applyAlignment="1">
      <alignment horizontal="center"/>
    </xf>
    <xf numFmtId="0" fontId="43" fillId="0" borderId="27" xfId="25" applyFont="1" applyBorder="1"/>
    <xf numFmtId="0" fontId="43" fillId="0" borderId="0" xfId="25" applyFont="1"/>
    <xf numFmtId="0" fontId="43" fillId="0" borderId="28" xfId="25" applyFont="1" applyBorder="1"/>
    <xf numFmtId="0" fontId="34" fillId="0" borderId="29" xfId="22" applyFont="1" applyBorder="1" applyAlignment="1">
      <alignment horizontal="center"/>
    </xf>
    <xf numFmtId="0" fontId="34" fillId="3" borderId="30" xfId="22" applyFont="1" applyFill="1" applyBorder="1" applyAlignment="1">
      <alignment horizontal="right"/>
    </xf>
    <xf numFmtId="0" fontId="34" fillId="17" borderId="30" xfId="22" applyFont="1" applyFill="1" applyBorder="1" applyAlignment="1">
      <alignment horizontal="left"/>
    </xf>
    <xf numFmtId="0" fontId="34" fillId="0" borderId="21" xfId="22" applyFont="1" applyBorder="1" applyAlignment="1">
      <alignment horizontal="center"/>
    </xf>
    <xf numFmtId="0" fontId="34" fillId="0" borderId="27" xfId="22" applyFont="1" applyBorder="1" applyAlignment="1">
      <alignment horizontal="center"/>
    </xf>
    <xf numFmtId="0" fontId="34" fillId="0" borderId="31" xfId="20" applyFont="1" applyBorder="1" applyAlignment="1">
      <alignment horizontal="center"/>
    </xf>
    <xf numFmtId="0" fontId="34" fillId="0" borderId="0" xfId="20" applyFont="1"/>
    <xf numFmtId="0" fontId="34" fillId="0" borderId="15" xfId="22" applyFont="1" applyBorder="1" applyAlignment="1">
      <alignment horizontal="center"/>
    </xf>
    <xf numFmtId="0" fontId="34" fillId="3" borderId="11" xfId="22" applyFont="1" applyFill="1" applyBorder="1" applyAlignment="1">
      <alignment horizontal="right"/>
    </xf>
    <xf numFmtId="0" fontId="34" fillId="17" borderId="11" xfId="22" applyFont="1" applyFill="1" applyBorder="1" applyAlignment="1">
      <alignment horizontal="left"/>
    </xf>
    <xf numFmtId="0" fontId="34" fillId="0" borderId="0" xfId="22" applyFont="1" applyAlignment="1">
      <alignment horizontal="center"/>
    </xf>
    <xf numFmtId="0" fontId="34" fillId="0" borderId="32" xfId="22" applyFont="1" applyBorder="1" applyAlignment="1">
      <alignment horizontal="center"/>
    </xf>
    <xf numFmtId="0" fontId="34" fillId="3" borderId="12" xfId="22" applyFont="1" applyFill="1" applyBorder="1" applyAlignment="1">
      <alignment horizontal="right"/>
    </xf>
    <xf numFmtId="0" fontId="34" fillId="17" borderId="12" xfId="22" applyFont="1" applyFill="1" applyBorder="1" applyAlignment="1">
      <alignment horizontal="left"/>
    </xf>
    <xf numFmtId="0" fontId="34" fillId="0" borderId="28" xfId="22" applyFont="1" applyBorder="1" applyAlignment="1">
      <alignment horizontal="center"/>
    </xf>
    <xf numFmtId="0" fontId="34" fillId="0" borderId="18" xfId="22" applyFont="1" applyBorder="1" applyAlignment="1">
      <alignment horizontal="center"/>
    </xf>
    <xf numFmtId="0" fontId="34" fillId="0" borderId="30" xfId="22" applyFont="1" applyBorder="1" applyAlignment="1">
      <alignment horizontal="center"/>
    </xf>
    <xf numFmtId="0" fontId="34" fillId="3" borderId="29" xfId="22" applyFont="1" applyFill="1" applyBorder="1" applyAlignment="1">
      <alignment horizontal="right"/>
    </xf>
    <xf numFmtId="0" fontId="34" fillId="0" borderId="10" xfId="22" applyFont="1" applyBorder="1" applyAlignment="1">
      <alignment horizontal="center"/>
    </xf>
    <xf numFmtId="0" fontId="34" fillId="3" borderId="0" xfId="22" applyFont="1" applyFill="1" applyAlignment="1">
      <alignment horizontal="right"/>
    </xf>
    <xf numFmtId="0" fontId="34" fillId="17" borderId="22" xfId="22" applyFont="1" applyFill="1" applyBorder="1" applyAlignment="1">
      <alignment horizontal="left"/>
    </xf>
    <xf numFmtId="0" fontId="34" fillId="0" borderId="22" xfId="22" applyFont="1" applyBorder="1" applyAlignment="1">
      <alignment horizontal="center"/>
    </xf>
    <xf numFmtId="0" fontId="34" fillId="3" borderId="32" xfId="22" applyFont="1" applyFill="1" applyBorder="1" applyAlignment="1">
      <alignment horizontal="right"/>
    </xf>
    <xf numFmtId="0" fontId="34" fillId="0" borderId="13" xfId="22" applyFont="1" applyBorder="1" applyAlignment="1">
      <alignment horizontal="center"/>
    </xf>
    <xf numFmtId="0" fontId="34" fillId="3" borderId="22" xfId="22" applyFont="1" applyFill="1" applyBorder="1" applyAlignment="1">
      <alignment horizontal="right"/>
    </xf>
    <xf numFmtId="0" fontId="34" fillId="3" borderId="13" xfId="22" applyFont="1" applyFill="1" applyBorder="1" applyAlignment="1">
      <alignment horizontal="right"/>
    </xf>
    <xf numFmtId="0" fontId="30" fillId="6" borderId="10" xfId="0" applyFont="1" applyFill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/>
    </xf>
    <xf numFmtId="0" fontId="29" fillId="4" borderId="10" xfId="0" applyFont="1" applyFill="1" applyBorder="1" applyAlignment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0" borderId="0" xfId="0" applyFont="1">
      <alignment vertical="center"/>
    </xf>
    <xf numFmtId="0" fontId="30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4" fillId="0" borderId="10" xfId="25" applyFont="1" applyBorder="1" applyAlignment="1">
      <alignment horizontal="center" vertical="top" wrapText="1"/>
    </xf>
    <xf numFmtId="0" fontId="45" fillId="0" borderId="10" xfId="25" applyFont="1" applyBorder="1" applyAlignment="1">
      <alignment horizontal="center" vertical="top" wrapText="1"/>
    </xf>
    <xf numFmtId="0" fontId="37" fillId="0" borderId="29" xfId="0" applyFont="1" applyBorder="1" applyAlignment="1">
      <alignment horizontal="center"/>
    </xf>
    <xf numFmtId="0" fontId="46" fillId="0" borderId="0" xfId="0" applyFont="1">
      <alignment vertical="center"/>
    </xf>
    <xf numFmtId="0" fontId="37" fillId="0" borderId="0" xfId="0" applyFont="1">
      <alignment vertical="center"/>
    </xf>
    <xf numFmtId="0" fontId="40" fillId="0" borderId="0" xfId="0" applyFont="1">
      <alignment vertical="center"/>
    </xf>
    <xf numFmtId="0" fontId="41" fillId="0" borderId="0" xfId="0" applyFont="1">
      <alignment vertical="center"/>
    </xf>
    <xf numFmtId="0" fontId="34" fillId="0" borderId="30" xfId="23" applyFont="1" applyBorder="1" applyAlignment="1">
      <alignment horizontal="center"/>
    </xf>
    <xf numFmtId="0" fontId="34" fillId="0" borderId="10" xfId="23" applyFont="1" applyBorder="1" applyAlignment="1">
      <alignment horizontal="center"/>
    </xf>
    <xf numFmtId="0" fontId="34" fillId="0" borderId="33" xfId="20" applyFont="1" applyBorder="1" applyAlignment="1">
      <alignment horizontal="center"/>
    </xf>
    <xf numFmtId="0" fontId="34" fillId="0" borderId="15" xfId="25" applyFont="1" applyBorder="1" applyAlignment="1">
      <alignment horizontal="center" vertical="top" wrapText="1"/>
    </xf>
    <xf numFmtId="0" fontId="34" fillId="0" borderId="34" xfId="25" applyFont="1" applyBorder="1" applyAlignment="1">
      <alignment horizontal="center" vertical="top" wrapText="1"/>
    </xf>
    <xf numFmtId="0" fontId="30" fillId="0" borderId="35" xfId="0" applyFont="1" applyBorder="1" applyAlignment="1">
      <alignment horizontal="center" vertical="center"/>
    </xf>
    <xf numFmtId="0" fontId="34" fillId="0" borderId="36" xfId="20" applyFont="1" applyBorder="1" applyAlignment="1">
      <alignment horizontal="center"/>
    </xf>
    <xf numFmtId="0" fontId="34" fillId="0" borderId="107" xfId="20" applyFont="1" applyBorder="1" applyAlignment="1">
      <alignment horizontal="center"/>
    </xf>
    <xf numFmtId="0" fontId="34" fillId="0" borderId="108" xfId="20" applyFont="1" applyBorder="1" applyAlignment="1">
      <alignment horizontal="center"/>
    </xf>
    <xf numFmtId="0" fontId="34" fillId="0" borderId="109" xfId="20" applyFont="1" applyBorder="1" applyAlignment="1">
      <alignment horizontal="center"/>
    </xf>
    <xf numFmtId="0" fontId="34" fillId="0" borderId="110" xfId="20" applyFont="1" applyBorder="1" applyAlignment="1">
      <alignment horizontal="center"/>
    </xf>
    <xf numFmtId="0" fontId="34" fillId="0" borderId="111" xfId="20" applyFont="1" applyBorder="1" applyAlignment="1">
      <alignment horizontal="center"/>
    </xf>
    <xf numFmtId="0" fontId="34" fillId="0" borderId="112" xfId="20" applyFont="1" applyBorder="1" applyAlignment="1">
      <alignment horizontal="center"/>
    </xf>
    <xf numFmtId="0" fontId="34" fillId="0" borderId="37" xfId="20" applyFont="1" applyBorder="1" applyAlignment="1">
      <alignment horizontal="center"/>
    </xf>
    <xf numFmtId="0" fontId="34" fillId="0" borderId="113" xfId="20" applyFont="1" applyBorder="1" applyAlignment="1">
      <alignment horizontal="center"/>
    </xf>
    <xf numFmtId="0" fontId="34" fillId="0" borderId="114" xfId="20" applyFont="1" applyBorder="1" applyAlignment="1">
      <alignment horizontal="center"/>
    </xf>
    <xf numFmtId="0" fontId="34" fillId="0" borderId="32" xfId="20" applyFont="1" applyBorder="1" applyAlignment="1">
      <alignment horizontal="center"/>
    </xf>
    <xf numFmtId="0" fontId="34" fillId="0" borderId="115" xfId="20" applyFont="1" applyBorder="1" applyAlignment="1">
      <alignment horizontal="center"/>
    </xf>
    <xf numFmtId="0" fontId="34" fillId="0" borderId="38" xfId="20" applyFont="1" applyBorder="1" applyAlignment="1">
      <alignment horizontal="center"/>
    </xf>
    <xf numFmtId="0" fontId="34" fillId="0" borderId="116" xfId="20" applyFont="1" applyBorder="1" applyAlignment="1">
      <alignment horizontal="center"/>
    </xf>
    <xf numFmtId="0" fontId="89" fillId="24" borderId="16" xfId="0" applyFont="1" applyFill="1" applyBorder="1" applyAlignment="1">
      <alignment horizontal="center" vertical="center"/>
    </xf>
    <xf numFmtId="0" fontId="32" fillId="0" borderId="34" xfId="0" applyFont="1" applyBorder="1" applyAlignment="1">
      <alignment horizontal="center" vertical="center"/>
    </xf>
    <xf numFmtId="0" fontId="29" fillId="17" borderId="39" xfId="0" applyFont="1" applyFill="1" applyBorder="1" applyAlignment="1">
      <alignment horizontal="center" vertical="center" wrapText="1"/>
    </xf>
    <xf numFmtId="0" fontId="30" fillId="17" borderId="40" xfId="0" applyFont="1" applyFill="1" applyBorder="1" applyAlignment="1">
      <alignment horizontal="center" vertical="center"/>
    </xf>
    <xf numFmtId="0" fontId="29" fillId="17" borderId="41" xfId="0" applyFont="1" applyFill="1" applyBorder="1" applyAlignment="1">
      <alignment horizontal="center" vertical="center" wrapText="1"/>
    </xf>
    <xf numFmtId="0" fontId="30" fillId="17" borderId="42" xfId="0" applyFont="1" applyFill="1" applyBorder="1" applyAlignment="1">
      <alignment horizontal="center" vertical="center"/>
    </xf>
    <xf numFmtId="0" fontId="43" fillId="0" borderId="0" xfId="25" applyFont="1" applyAlignment="1">
      <alignment horizontal="center"/>
    </xf>
    <xf numFmtId="0" fontId="37" fillId="0" borderId="43" xfId="25" applyFont="1" applyBorder="1" applyAlignment="1">
      <alignment horizontal="center"/>
    </xf>
    <xf numFmtId="0" fontId="34" fillId="0" borderId="34" xfId="0" applyFont="1" applyBorder="1">
      <alignment vertical="center"/>
    </xf>
    <xf numFmtId="0" fontId="34" fillId="0" borderId="34" xfId="0" applyFont="1" applyBorder="1" applyAlignment="1">
      <alignment horizontal="center" vertical="center"/>
    </xf>
    <xf numFmtId="0" fontId="47" fillId="0" borderId="0" xfId="21" applyFont="1" applyAlignment="1">
      <alignment horizontal="left" vertical="center"/>
    </xf>
    <xf numFmtId="0" fontId="47" fillId="0" borderId="0" xfId="21" applyFont="1" applyAlignment="1">
      <alignment horizontal="center" vertical="center"/>
    </xf>
    <xf numFmtId="0" fontId="44" fillId="0" borderId="0" xfId="21" applyFont="1" applyAlignment="1">
      <alignment horizontal="center" vertical="center"/>
    </xf>
    <xf numFmtId="0" fontId="34" fillId="0" borderId="0" xfId="21" applyFont="1" applyAlignment="1">
      <alignment horizontal="center" vertical="center"/>
    </xf>
    <xf numFmtId="0" fontId="34" fillId="0" borderId="0" xfId="21" applyFont="1" applyAlignment="1">
      <alignment vertical="center"/>
    </xf>
    <xf numFmtId="0" fontId="90" fillId="26" borderId="0" xfId="51" applyFont="1" applyFill="1" applyAlignment="1">
      <alignment horizontal="center" vertical="center"/>
    </xf>
    <xf numFmtId="0" fontId="47" fillId="0" borderId="28" xfId="21" applyFont="1" applyBorder="1" applyAlignment="1">
      <alignment horizontal="center" vertical="center"/>
    </xf>
    <xf numFmtId="0" fontId="48" fillId="0" borderId="44" xfId="21" applyFont="1" applyBorder="1" applyAlignment="1">
      <alignment horizontal="center" vertical="center"/>
    </xf>
    <xf numFmtId="0" fontId="34" fillId="0" borderId="30" xfId="21" applyFont="1" applyBorder="1" applyAlignment="1">
      <alignment horizontal="center" vertical="center"/>
    </xf>
    <xf numFmtId="0" fontId="48" fillId="0" borderId="45" xfId="21" applyFont="1" applyBorder="1" applyAlignment="1">
      <alignment horizontal="center" vertical="center"/>
    </xf>
    <xf numFmtId="0" fontId="34" fillId="0" borderId="12" xfId="21" applyFont="1" applyBorder="1" applyAlignment="1">
      <alignment horizontal="center" vertical="center"/>
    </xf>
    <xf numFmtId="20" fontId="34" fillId="0" borderId="0" xfId="21" applyNumberFormat="1" applyFont="1" applyAlignment="1">
      <alignment horizontal="center" vertical="center"/>
    </xf>
    <xf numFmtId="20" fontId="34" fillId="0" borderId="30" xfId="21" applyNumberFormat="1" applyFont="1" applyBorder="1" applyAlignment="1">
      <alignment horizontal="center" vertical="center"/>
    </xf>
    <xf numFmtId="0" fontId="34" fillId="0" borderId="47" xfId="21" applyFont="1" applyBorder="1" applyAlignment="1">
      <alignment horizontal="center" vertical="center"/>
    </xf>
    <xf numFmtId="20" fontId="34" fillId="0" borderId="10" xfId="21" applyNumberFormat="1" applyFont="1" applyBorder="1" applyAlignment="1">
      <alignment horizontal="center" vertical="center"/>
    </xf>
    <xf numFmtId="0" fontId="34" fillId="0" borderId="0" xfId="21" applyFont="1" applyAlignment="1">
      <alignment horizontal="left" vertical="center"/>
    </xf>
    <xf numFmtId="0" fontId="53" fillId="24" borderId="16" xfId="0" applyFont="1" applyFill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6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0" borderId="0" xfId="0" applyFont="1">
      <alignment vertical="center"/>
    </xf>
    <xf numFmtId="0" fontId="59" fillId="0" borderId="0" xfId="0" applyFont="1">
      <alignment vertical="center"/>
    </xf>
    <xf numFmtId="0" fontId="44" fillId="0" borderId="0" xfId="0" applyFont="1" applyAlignment="1">
      <alignment horizontal="center" vertical="center"/>
    </xf>
    <xf numFmtId="0" fontId="60" fillId="0" borderId="0" xfId="0" applyFont="1">
      <alignment vertical="center"/>
    </xf>
    <xf numFmtId="0" fontId="61" fillId="0" borderId="0" xfId="0" applyFont="1">
      <alignment vertical="center"/>
    </xf>
    <xf numFmtId="0" fontId="44" fillId="0" borderId="28" xfId="0" applyFont="1" applyBorder="1">
      <alignment vertical="center"/>
    </xf>
    <xf numFmtId="0" fontId="36" fillId="0" borderId="28" xfId="0" applyFont="1" applyBorder="1" applyAlignment="1">
      <alignment horizontal="center" vertical="center"/>
    </xf>
    <xf numFmtId="0" fontId="34" fillId="0" borderId="28" xfId="0" applyFont="1" applyBorder="1">
      <alignment vertical="center"/>
    </xf>
    <xf numFmtId="0" fontId="62" fillId="0" borderId="29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 wrapText="1"/>
    </xf>
    <xf numFmtId="0" fontId="63" fillId="0" borderId="30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/>
    </xf>
    <xf numFmtId="0" fontId="62" fillId="0" borderId="2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/>
    </xf>
    <xf numFmtId="0" fontId="32" fillId="0" borderId="32" xfId="0" applyFont="1" applyBorder="1" applyAlignment="1">
      <alignment horizontal="center" vertical="center" wrapText="1"/>
    </xf>
    <xf numFmtId="0" fontId="63" fillId="0" borderId="11" xfId="0" applyFont="1" applyBorder="1" applyAlignment="1">
      <alignment horizontal="center" vertical="center" wrapText="1"/>
    </xf>
    <xf numFmtId="0" fontId="32" fillId="0" borderId="11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/>
    </xf>
    <xf numFmtId="0" fontId="53" fillId="24" borderId="14" xfId="0" applyFont="1" applyFill="1" applyBorder="1" applyAlignment="1">
      <alignment horizontal="center" vertical="center"/>
    </xf>
    <xf numFmtId="0" fontId="34" fillId="0" borderId="12" xfId="0" applyFont="1" applyBorder="1">
      <alignment vertical="center"/>
    </xf>
    <xf numFmtId="0" fontId="34" fillId="0" borderId="10" xfId="0" applyFont="1" applyBorder="1">
      <alignment vertical="center"/>
    </xf>
    <xf numFmtId="0" fontId="53" fillId="24" borderId="48" xfId="0" applyFont="1" applyFill="1" applyBorder="1" applyAlignment="1">
      <alignment horizontal="center" vertical="center"/>
    </xf>
    <xf numFmtId="0" fontId="30" fillId="0" borderId="10" xfId="0" applyFont="1" applyBorder="1" applyAlignment="1">
      <alignment horizontal="left"/>
    </xf>
    <xf numFmtId="0" fontId="37" fillId="0" borderId="0" xfId="54" applyFont="1" applyAlignment="1">
      <alignment horizontal="left"/>
    </xf>
    <xf numFmtId="0" fontId="37" fillId="0" borderId="0" xfId="54" applyFont="1" applyAlignment="1">
      <alignment horizontal="right"/>
    </xf>
    <xf numFmtId="0" fontId="37" fillId="0" borderId="0" xfId="54" applyFont="1"/>
    <xf numFmtId="0" fontId="37" fillId="0" borderId="10" xfId="54" applyFont="1" applyBorder="1" applyAlignment="1">
      <alignment horizontal="center" vertical="top" wrapText="1"/>
    </xf>
    <xf numFmtId="0" fontId="37" fillId="0" borderId="0" xfId="54" applyFont="1" applyAlignment="1">
      <alignment horizontal="center" vertical="top" wrapText="1"/>
    </xf>
    <xf numFmtId="0" fontId="37" fillId="0" borderId="0" xfId="25" applyFont="1" applyAlignment="1">
      <alignment horizontal="left"/>
    </xf>
    <xf numFmtId="0" fontId="34" fillId="0" borderId="49" xfId="0" applyFont="1" applyBorder="1">
      <alignment vertical="center"/>
    </xf>
    <xf numFmtId="0" fontId="44" fillId="0" borderId="10" xfId="20" applyFont="1" applyBorder="1" applyAlignment="1">
      <alignment horizontal="left"/>
    </xf>
    <xf numFmtId="0" fontId="43" fillId="0" borderId="0" xfId="25" applyFont="1" applyAlignment="1">
      <alignment horizontal="right"/>
    </xf>
    <xf numFmtId="0" fontId="37" fillId="0" borderId="22" xfId="25" applyFont="1" applyBorder="1"/>
    <xf numFmtId="0" fontId="43" fillId="0" borderId="21" xfId="25" applyFont="1" applyBorder="1" applyAlignment="1">
      <alignment horizontal="right"/>
    </xf>
    <xf numFmtId="0" fontId="66" fillId="0" borderId="0" xfId="25" applyFont="1" applyAlignment="1">
      <alignment horizontal="center"/>
    </xf>
    <xf numFmtId="0" fontId="37" fillId="0" borderId="28" xfId="25" applyFont="1" applyBorder="1"/>
    <xf numFmtId="0" fontId="37" fillId="0" borderId="32" xfId="25" applyFont="1" applyBorder="1"/>
    <xf numFmtId="0" fontId="67" fillId="0" borderId="10" xfId="25" applyFont="1" applyBorder="1"/>
    <xf numFmtId="0" fontId="37" fillId="0" borderId="21" xfId="0" applyFont="1" applyBorder="1" applyAlignment="1">
      <alignment horizontal="center"/>
    </xf>
    <xf numFmtId="0" fontId="37" fillId="0" borderId="29" xfId="25" applyFont="1" applyBorder="1"/>
    <xf numFmtId="0" fontId="68" fillId="0" borderId="0" xfId="20" applyFont="1"/>
    <xf numFmtId="0" fontId="34" fillId="0" borderId="0" xfId="20" applyFont="1" applyAlignment="1">
      <alignment horizontal="center"/>
    </xf>
    <xf numFmtId="0" fontId="59" fillId="0" borderId="0" xfId="20" applyFont="1"/>
    <xf numFmtId="0" fontId="59" fillId="0" borderId="0" xfId="50" applyFont="1" applyAlignment="1">
      <alignment horizontal="left"/>
    </xf>
    <xf numFmtId="0" fontId="34" fillId="0" borderId="0" xfId="50" applyFont="1" applyAlignment="1">
      <alignment horizontal="center"/>
    </xf>
    <xf numFmtId="0" fontId="30" fillId="0" borderId="0" xfId="20" applyFont="1"/>
    <xf numFmtId="0" fontId="69" fillId="0" borderId="0" xfId="20" applyFont="1" applyAlignment="1">
      <alignment horizontal="center"/>
    </xf>
    <xf numFmtId="0" fontId="30" fillId="0" borderId="28" xfId="20" applyFont="1" applyBorder="1" applyAlignment="1">
      <alignment horizontal="center"/>
    </xf>
    <xf numFmtId="0" fontId="34" fillId="0" borderId="28" xfId="20" applyFont="1" applyBorder="1" applyAlignment="1">
      <alignment horizontal="center"/>
    </xf>
    <xf numFmtId="0" fontId="34" fillId="0" borderId="30" xfId="20" applyFont="1" applyBorder="1" applyAlignment="1">
      <alignment horizontal="center"/>
    </xf>
    <xf numFmtId="0" fontId="30" fillId="0" borderId="10" xfId="50" applyFont="1" applyBorder="1" applyAlignment="1">
      <alignment horizontal="center"/>
    </xf>
    <xf numFmtId="0" fontId="30" fillId="17" borderId="15" xfId="50" applyFont="1" applyFill="1" applyBorder="1" applyAlignment="1">
      <alignment horizontal="center"/>
    </xf>
    <xf numFmtId="0" fontId="30" fillId="0" borderId="17" xfId="50" applyFont="1" applyBorder="1" applyAlignment="1">
      <alignment horizontal="center"/>
    </xf>
    <xf numFmtId="0" fontId="34" fillId="0" borderId="10" xfId="20" applyFont="1" applyBorder="1"/>
    <xf numFmtId="0" fontId="34" fillId="0" borderId="12" xfId="52" applyFont="1" applyBorder="1" applyAlignment="1">
      <alignment horizontal="center"/>
    </xf>
    <xf numFmtId="0" fontId="30" fillId="0" borderId="10" xfId="53" applyFont="1" applyBorder="1" applyAlignment="1">
      <alignment horizontal="center"/>
    </xf>
    <xf numFmtId="0" fontId="30" fillId="17" borderId="15" xfId="53" applyFont="1" applyFill="1" applyBorder="1" applyAlignment="1">
      <alignment horizontal="center"/>
    </xf>
    <xf numFmtId="0" fontId="30" fillId="0" borderId="17" xfId="53" applyFont="1" applyBorder="1" applyAlignment="1">
      <alignment horizontal="center"/>
    </xf>
    <xf numFmtId="0" fontId="34" fillId="0" borderId="30" xfId="24" applyFont="1" applyBorder="1" applyAlignment="1">
      <alignment horizontal="center"/>
    </xf>
    <xf numFmtId="0" fontId="34" fillId="3" borderId="22" xfId="24" applyFont="1" applyFill="1" applyBorder="1" applyAlignment="1">
      <alignment horizontal="center"/>
    </xf>
    <xf numFmtId="0" fontId="34" fillId="17" borderId="22" xfId="24" applyFont="1" applyFill="1" applyBorder="1" applyAlignment="1">
      <alignment horizontal="center"/>
    </xf>
    <xf numFmtId="0" fontId="30" fillId="0" borderId="22" xfId="20" applyFont="1" applyBorder="1" applyAlignment="1">
      <alignment horizontal="center"/>
    </xf>
    <xf numFmtId="0" fontId="30" fillId="0" borderId="0" xfId="24" applyFont="1" applyAlignment="1">
      <alignment horizontal="center"/>
    </xf>
    <xf numFmtId="0" fontId="30" fillId="0" borderId="32" xfId="20" applyFont="1" applyBorder="1" applyAlignment="1">
      <alignment horizontal="center"/>
    </xf>
    <xf numFmtId="0" fontId="34" fillId="0" borderId="10" xfId="20" applyFont="1" applyBorder="1" applyAlignment="1">
      <alignment horizontal="left"/>
    </xf>
    <xf numFmtId="0" fontId="34" fillId="0" borderId="10" xfId="24" applyFont="1" applyBorder="1" applyAlignment="1">
      <alignment horizontal="center"/>
    </xf>
    <xf numFmtId="0" fontId="30" fillId="0" borderId="13" xfId="20" applyFont="1" applyBorder="1" applyAlignment="1">
      <alignment horizontal="center"/>
    </xf>
    <xf numFmtId="0" fontId="30" fillId="0" borderId="28" xfId="24" applyFont="1" applyBorder="1" applyAlignment="1">
      <alignment horizontal="center"/>
    </xf>
    <xf numFmtId="0" fontId="30" fillId="0" borderId="18" xfId="20" applyFont="1" applyBorder="1" applyAlignment="1">
      <alignment horizontal="center"/>
    </xf>
    <xf numFmtId="0" fontId="34" fillId="0" borderId="50" xfId="20" applyFont="1" applyBorder="1" applyAlignment="1">
      <alignment horizontal="center"/>
    </xf>
    <xf numFmtId="0" fontId="34" fillId="3" borderId="13" xfId="24" applyFont="1" applyFill="1" applyBorder="1" applyAlignment="1">
      <alignment horizontal="center"/>
    </xf>
    <xf numFmtId="0" fontId="34" fillId="17" borderId="13" xfId="24" applyFont="1" applyFill="1" applyBorder="1" applyAlignment="1">
      <alignment horizontal="center"/>
    </xf>
    <xf numFmtId="0" fontId="34" fillId="0" borderId="51" xfId="20" applyFont="1" applyBorder="1" applyAlignment="1">
      <alignment horizontal="center"/>
    </xf>
    <xf numFmtId="0" fontId="34" fillId="3" borderId="11" xfId="24" applyFont="1" applyFill="1" applyBorder="1" applyAlignment="1">
      <alignment horizontal="right"/>
    </xf>
    <xf numFmtId="0" fontId="34" fillId="17" borderId="22" xfId="24" applyFont="1" applyFill="1" applyBorder="1" applyAlignment="1">
      <alignment horizontal="left"/>
    </xf>
    <xf numFmtId="0" fontId="34" fillId="0" borderId="22" xfId="24" applyFont="1" applyBorder="1" applyAlignment="1">
      <alignment horizontal="center"/>
    </xf>
    <xf numFmtId="0" fontId="34" fillId="0" borderId="0" xfId="24" applyFont="1" applyAlignment="1">
      <alignment horizontal="center"/>
    </xf>
    <xf numFmtId="0" fontId="34" fillId="0" borderId="32" xfId="24" applyFont="1" applyBorder="1" applyAlignment="1">
      <alignment horizontal="center"/>
    </xf>
    <xf numFmtId="0" fontId="34" fillId="17" borderId="12" xfId="24" applyFont="1" applyFill="1" applyBorder="1" applyAlignment="1">
      <alignment horizontal="left"/>
    </xf>
    <xf numFmtId="0" fontId="34" fillId="0" borderId="13" xfId="24" applyFont="1" applyBorder="1" applyAlignment="1">
      <alignment horizontal="center"/>
    </xf>
    <xf numFmtId="0" fontId="34" fillId="0" borderId="28" xfId="24" applyFont="1" applyBorder="1" applyAlignment="1">
      <alignment horizontal="center"/>
    </xf>
    <xf numFmtId="0" fontId="34" fillId="0" borderId="18" xfId="24" applyFont="1" applyBorder="1" applyAlignment="1">
      <alignment horizontal="center"/>
    </xf>
    <xf numFmtId="0" fontId="34" fillId="3" borderId="30" xfId="24" applyFont="1" applyFill="1" applyBorder="1" applyAlignment="1">
      <alignment horizontal="right"/>
    </xf>
    <xf numFmtId="0" fontId="34" fillId="0" borderId="29" xfId="24" applyFont="1" applyBorder="1" applyAlignment="1">
      <alignment horizontal="center"/>
    </xf>
    <xf numFmtId="0" fontId="34" fillId="0" borderId="21" xfId="24" applyFont="1" applyBorder="1" applyAlignment="1">
      <alignment horizontal="center"/>
    </xf>
    <xf numFmtId="0" fontId="34" fillId="0" borderId="27" xfId="24" applyFont="1" applyBorder="1" applyAlignment="1">
      <alignment horizontal="center"/>
    </xf>
    <xf numFmtId="0" fontId="34" fillId="3" borderId="12" xfId="24" applyFont="1" applyFill="1" applyBorder="1" applyAlignment="1">
      <alignment horizontal="right"/>
    </xf>
    <xf numFmtId="0" fontId="34" fillId="3" borderId="22" xfId="24" applyFont="1" applyFill="1" applyBorder="1" applyAlignment="1">
      <alignment horizontal="right"/>
    </xf>
    <xf numFmtId="0" fontId="34" fillId="3" borderId="13" xfId="24" applyFont="1" applyFill="1" applyBorder="1" applyAlignment="1">
      <alignment horizontal="right"/>
    </xf>
    <xf numFmtId="0" fontId="34" fillId="0" borderId="52" xfId="20" applyFont="1" applyBorder="1"/>
    <xf numFmtId="0" fontId="37" fillId="0" borderId="0" xfId="54" applyFont="1" applyAlignment="1">
      <alignment horizontal="center"/>
    </xf>
    <xf numFmtId="0" fontId="34" fillId="0" borderId="0" xfId="54" applyFont="1" applyAlignment="1">
      <alignment horizontal="left"/>
    </xf>
    <xf numFmtId="0" fontId="34" fillId="0" borderId="0" xfId="54" applyFont="1" applyAlignment="1">
      <alignment horizontal="right"/>
    </xf>
    <xf numFmtId="0" fontId="34" fillId="0" borderId="0" xfId="54" applyFont="1" applyAlignment="1">
      <alignment horizontal="center"/>
    </xf>
    <xf numFmtId="0" fontId="34" fillId="0" borderId="0" xfId="54" applyFont="1"/>
    <xf numFmtId="0" fontId="34" fillId="0" borderId="0" xfId="25" applyFont="1"/>
    <xf numFmtId="0" fontId="34" fillId="0" borderId="0" xfId="25" applyFont="1" applyAlignment="1">
      <alignment horizontal="center" vertical="top" wrapText="1"/>
    </xf>
    <xf numFmtId="0" fontId="45" fillId="0" borderId="0" xfId="25" applyFont="1" applyAlignment="1">
      <alignment horizontal="center" vertical="top" wrapText="1"/>
    </xf>
    <xf numFmtId="0" fontId="34" fillId="0" borderId="0" xfId="25" applyFont="1" applyAlignment="1">
      <alignment horizontal="left"/>
    </xf>
    <xf numFmtId="0" fontId="34" fillId="0" borderId="0" xfId="25" applyFont="1" applyAlignment="1">
      <alignment horizontal="center"/>
    </xf>
    <xf numFmtId="0" fontId="43" fillId="0" borderId="10" xfId="25" applyFont="1" applyBorder="1" applyAlignment="1">
      <alignment horizontal="center"/>
    </xf>
    <xf numFmtId="0" fontId="71" fillId="0" borderId="0" xfId="0" applyFont="1" applyAlignment="1">
      <alignment horizontal="center"/>
    </xf>
    <xf numFmtId="0" fontId="41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66" fillId="0" borderId="0" xfId="0" applyFont="1">
      <alignment vertical="center"/>
    </xf>
    <xf numFmtId="0" fontId="66" fillId="0" borderId="0" xfId="0" applyFont="1" applyAlignment="1">
      <alignment horizontal="center"/>
    </xf>
    <xf numFmtId="0" fontId="72" fillId="0" borderId="0" xfId="0" applyFont="1" applyAlignment="1">
      <alignment horizontal="center"/>
    </xf>
    <xf numFmtId="0" fontId="73" fillId="0" borderId="0" xfId="0" applyFont="1" applyAlignment="1">
      <alignment horizontal="center"/>
    </xf>
    <xf numFmtId="0" fontId="37" fillId="0" borderId="53" xfId="25" applyFont="1" applyBorder="1"/>
    <xf numFmtId="0" fontId="37" fillId="0" borderId="10" xfId="25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37" fillId="0" borderId="34" xfId="25" applyFont="1" applyBorder="1" applyAlignment="1">
      <alignment horizontal="center" vertical="center"/>
    </xf>
    <xf numFmtId="0" fontId="43" fillId="0" borderId="0" xfId="0" applyFont="1" applyAlignment="1">
      <alignment horizontal="center"/>
    </xf>
    <xf numFmtId="0" fontId="43" fillId="0" borderId="0" xfId="0" applyFont="1">
      <alignment vertical="center"/>
    </xf>
    <xf numFmtId="0" fontId="43" fillId="0" borderId="0" xfId="25" applyFont="1" applyAlignment="1">
      <alignment horizontal="center" vertical="center"/>
    </xf>
    <xf numFmtId="0" fontId="43" fillId="0" borderId="0" xfId="0" applyFont="1" applyAlignment="1">
      <alignment horizontal="right" vertical="center"/>
    </xf>
    <xf numFmtId="0" fontId="37" fillId="0" borderId="0" xfId="0" applyFont="1" applyAlignment="1">
      <alignment horizontal="right" vertical="center"/>
    </xf>
    <xf numFmtId="0" fontId="44" fillId="0" borderId="0" xfId="20" applyFont="1" applyAlignment="1">
      <alignment horizontal="center"/>
    </xf>
    <xf numFmtId="0" fontId="34" fillId="0" borderId="0" xfId="50" applyFont="1" applyAlignment="1">
      <alignment horizontal="left"/>
    </xf>
    <xf numFmtId="0" fontId="34" fillId="0" borderId="0" xfId="50" applyFont="1"/>
    <xf numFmtId="0" fontId="30" fillId="0" borderId="0" xfId="50" applyFont="1" applyAlignment="1">
      <alignment horizontal="center"/>
    </xf>
    <xf numFmtId="0" fontId="69" fillId="0" borderId="0" xfId="50" applyFont="1" applyAlignment="1">
      <alignment horizontal="center"/>
    </xf>
    <xf numFmtId="0" fontId="34" fillId="0" borderId="10" xfId="50" applyFont="1" applyBorder="1" applyAlignment="1">
      <alignment horizontal="center"/>
    </xf>
    <xf numFmtId="0" fontId="34" fillId="0" borderId="15" xfId="50" applyFont="1" applyBorder="1" applyAlignment="1">
      <alignment horizontal="center"/>
    </xf>
    <xf numFmtId="0" fontId="34" fillId="0" borderId="10" xfId="52" applyFont="1" applyBorder="1" applyAlignment="1">
      <alignment horizontal="center"/>
    </xf>
    <xf numFmtId="0" fontId="32" fillId="24" borderId="54" xfId="0" applyFont="1" applyFill="1" applyBorder="1" applyAlignment="1">
      <alignment horizontal="center" vertical="center"/>
    </xf>
    <xf numFmtId="0" fontId="43" fillId="0" borderId="0" xfId="54" applyFont="1" applyAlignment="1">
      <alignment horizontal="left"/>
    </xf>
    <xf numFmtId="0" fontId="43" fillId="0" borderId="11" xfId="25" applyFont="1" applyBorder="1" applyAlignment="1">
      <alignment horizontal="center"/>
    </xf>
    <xf numFmtId="0" fontId="37" fillId="0" borderId="13" xfId="25" applyFont="1" applyBorder="1"/>
    <xf numFmtId="0" fontId="37" fillId="0" borderId="0" xfId="25" applyFont="1" applyAlignment="1">
      <alignment horizontal="right"/>
    </xf>
    <xf numFmtId="0" fontId="37" fillId="0" borderId="10" xfId="25" applyFont="1" applyBorder="1"/>
    <xf numFmtId="0" fontId="66" fillId="0" borderId="0" xfId="25" applyFont="1"/>
    <xf numFmtId="0" fontId="37" fillId="0" borderId="49" xfId="25" applyFont="1" applyBorder="1"/>
    <xf numFmtId="0" fontId="37" fillId="0" borderId="18" xfId="25" applyFont="1" applyBorder="1"/>
    <xf numFmtId="0" fontId="34" fillId="0" borderId="55" xfId="20" applyFont="1" applyBorder="1" applyAlignment="1">
      <alignment horizontal="center"/>
    </xf>
    <xf numFmtId="0" fontId="34" fillId="0" borderId="117" xfId="20" applyFont="1" applyBorder="1" applyAlignment="1">
      <alignment horizontal="center"/>
    </xf>
    <xf numFmtId="0" fontId="39" fillId="0" borderId="0" xfId="54" applyFont="1" applyAlignment="1">
      <alignment horizontal="left"/>
    </xf>
    <xf numFmtId="0" fontId="34" fillId="0" borderId="0" xfId="25" applyFont="1" applyAlignment="1">
      <alignment horizontal="right"/>
    </xf>
    <xf numFmtId="0" fontId="44" fillId="0" borderId="56" xfId="20" applyFont="1" applyBorder="1" applyAlignment="1">
      <alignment horizontal="center"/>
    </xf>
    <xf numFmtId="0" fontId="67" fillId="0" borderId="32" xfId="0" applyFont="1" applyBorder="1" applyAlignment="1">
      <alignment horizontal="center"/>
    </xf>
    <xf numFmtId="0" fontId="37" fillId="0" borderId="22" xfId="0" applyFont="1" applyBorder="1" applyAlignment="1">
      <alignment horizontal="center"/>
    </xf>
    <xf numFmtId="0" fontId="37" fillId="0" borderId="57" xfId="25" applyFont="1" applyBorder="1"/>
    <xf numFmtId="0" fontId="76" fillId="0" borderId="0" xfId="25" applyFont="1" applyAlignment="1">
      <alignment horizontal="center"/>
    </xf>
    <xf numFmtId="0" fontId="34" fillId="0" borderId="58" xfId="0" applyFont="1" applyBorder="1">
      <alignment vertical="center"/>
    </xf>
    <xf numFmtId="49" fontId="47" fillId="0" borderId="32" xfId="25" applyNumberFormat="1" applyFont="1" applyBorder="1" applyAlignment="1">
      <alignment horizontal="center"/>
    </xf>
    <xf numFmtId="0" fontId="37" fillId="0" borderId="59" xfId="25" applyFont="1" applyBorder="1"/>
    <xf numFmtId="0" fontId="47" fillId="0" borderId="53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0" borderId="22" xfId="0" applyFont="1" applyBorder="1">
      <alignment vertical="center"/>
    </xf>
    <xf numFmtId="0" fontId="34" fillId="0" borderId="60" xfId="0" applyFont="1" applyBorder="1">
      <alignment vertical="center"/>
    </xf>
    <xf numFmtId="0" fontId="37" fillId="0" borderId="0" xfId="0" applyFont="1" applyAlignment="1">
      <alignment horizontal="center" vertical="center"/>
    </xf>
    <xf numFmtId="0" fontId="67" fillId="0" borderId="0" xfId="0" applyFont="1" applyAlignment="1">
      <alignment horizontal="center"/>
    </xf>
    <xf numFmtId="0" fontId="37" fillId="0" borderId="32" xfId="25" applyFont="1" applyBorder="1" applyAlignment="1">
      <alignment horizontal="center"/>
    </xf>
    <xf numFmtId="0" fontId="43" fillId="0" borderId="56" xfId="25" applyFont="1" applyBorder="1" applyAlignment="1">
      <alignment horizontal="center"/>
    </xf>
    <xf numFmtId="0" fontId="37" fillId="0" borderId="32" xfId="0" applyFont="1" applyBorder="1" applyAlignment="1">
      <alignment horizontal="center"/>
    </xf>
    <xf numFmtId="0" fontId="37" fillId="0" borderId="29" xfId="0" applyFont="1" applyBorder="1" applyAlignment="1">
      <alignment horizontal="center" vertical="center"/>
    </xf>
    <xf numFmtId="0" fontId="37" fillId="0" borderId="27" xfId="0" applyFont="1" applyBorder="1">
      <alignment vertical="center"/>
    </xf>
    <xf numFmtId="0" fontId="37" fillId="0" borderId="28" xfId="0" applyFont="1" applyBorder="1" applyAlignment="1">
      <alignment horizontal="center"/>
    </xf>
    <xf numFmtId="0" fontId="37" fillId="0" borderId="32" xfId="0" applyFont="1" applyBorder="1">
      <alignment vertical="center"/>
    </xf>
    <xf numFmtId="0" fontId="37" fillId="0" borderId="18" xfId="0" applyFont="1" applyBorder="1" applyAlignment="1">
      <alignment horizontal="center"/>
    </xf>
    <xf numFmtId="0" fontId="34" fillId="0" borderId="61" xfId="0" applyFont="1" applyBorder="1">
      <alignment vertical="center"/>
    </xf>
    <xf numFmtId="0" fontId="44" fillId="0" borderId="32" xfId="20" applyFont="1" applyBorder="1" applyAlignment="1">
      <alignment horizontal="center"/>
    </xf>
    <xf numFmtId="0" fontId="67" fillId="0" borderId="13" xfId="0" applyFont="1" applyBorder="1" applyAlignment="1">
      <alignment horizontal="center"/>
    </xf>
    <xf numFmtId="49" fontId="47" fillId="0" borderId="0" xfId="25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37" fillId="0" borderId="13" xfId="0" applyFont="1" applyBorder="1" applyAlignment="1">
      <alignment horizontal="center"/>
    </xf>
    <xf numFmtId="0" fontId="37" fillId="0" borderId="18" xfId="0" applyFont="1" applyBorder="1">
      <alignment vertical="center"/>
    </xf>
    <xf numFmtId="0" fontId="34" fillId="0" borderId="0" xfId="0" applyFont="1" applyAlignment="1"/>
    <xf numFmtId="0" fontId="76" fillId="0" borderId="0" xfId="0" applyFont="1" applyAlignment="1">
      <alignment horizontal="center" vertical="center"/>
    </xf>
    <xf numFmtId="0" fontId="37" fillId="0" borderId="0" xfId="0" applyFont="1" applyAlignment="1"/>
    <xf numFmtId="0" fontId="34" fillId="0" borderId="0" xfId="0" applyFont="1" applyAlignment="1">
      <alignment horizontal="center"/>
    </xf>
    <xf numFmtId="0" fontId="74" fillId="0" borderId="0" xfId="0" applyFont="1">
      <alignment vertical="center"/>
    </xf>
    <xf numFmtId="0" fontId="77" fillId="0" borderId="0" xfId="0" applyFont="1">
      <alignment vertical="center"/>
    </xf>
    <xf numFmtId="0" fontId="67" fillId="0" borderId="27" xfId="25" applyFont="1" applyBorder="1" applyAlignment="1">
      <alignment horizontal="center"/>
    </xf>
    <xf numFmtId="20" fontId="67" fillId="0" borderId="0" xfId="25" applyNumberFormat="1" applyFont="1" applyAlignment="1">
      <alignment horizontal="center"/>
    </xf>
    <xf numFmtId="0" fontId="78" fillId="0" borderId="0" xfId="0" applyFont="1" applyAlignment="1">
      <alignment horizontal="center"/>
    </xf>
    <xf numFmtId="0" fontId="77" fillId="0" borderId="18" xfId="25" applyFont="1" applyBorder="1" applyAlignment="1">
      <alignment horizontal="center"/>
    </xf>
    <xf numFmtId="0" fontId="43" fillId="0" borderId="0" xfId="25" applyFont="1" applyAlignment="1">
      <alignment horizontal="left"/>
    </xf>
    <xf numFmtId="0" fontId="34" fillId="17" borderId="10" xfId="50" applyFont="1" applyFill="1" applyBorder="1" applyAlignment="1">
      <alignment horizontal="center"/>
    </xf>
    <xf numFmtId="0" fontId="34" fillId="0" borderId="10" xfId="50" applyFont="1" applyBorder="1"/>
    <xf numFmtId="0" fontId="34" fillId="0" borderId="12" xfId="20" applyFont="1" applyBorder="1" applyAlignment="1">
      <alignment horizontal="center"/>
    </xf>
    <xf numFmtId="0" fontId="34" fillId="17" borderId="10" xfId="52" applyFont="1" applyFill="1" applyBorder="1" applyAlignment="1">
      <alignment horizontal="center"/>
    </xf>
    <xf numFmtId="0" fontId="34" fillId="0" borderId="22" xfId="50" applyFont="1" applyBorder="1" applyAlignment="1">
      <alignment horizontal="center"/>
    </xf>
    <xf numFmtId="0" fontId="34" fillId="0" borderId="11" xfId="50" applyFont="1" applyBorder="1" applyAlignment="1">
      <alignment horizontal="center"/>
    </xf>
    <xf numFmtId="0" fontId="34" fillId="3" borderId="22" xfId="22" applyFont="1" applyFill="1" applyBorder="1" applyAlignment="1">
      <alignment horizontal="center"/>
    </xf>
    <xf numFmtId="0" fontId="34" fillId="17" borderId="22" xfId="22" applyFont="1" applyFill="1" applyBorder="1" applyAlignment="1">
      <alignment horizontal="center"/>
    </xf>
    <xf numFmtId="0" fontId="34" fillId="3" borderId="12" xfId="22" applyFont="1" applyFill="1" applyBorder="1" applyAlignment="1">
      <alignment horizontal="center"/>
    </xf>
    <xf numFmtId="0" fontId="34" fillId="17" borderId="12" xfId="22" applyFont="1" applyFill="1" applyBorder="1" applyAlignment="1">
      <alignment horizontal="center"/>
    </xf>
    <xf numFmtId="0" fontId="34" fillId="17" borderId="30" xfId="22" applyFont="1" applyFill="1" applyBorder="1" applyAlignment="1">
      <alignment horizontal="center"/>
    </xf>
    <xf numFmtId="0" fontId="34" fillId="3" borderId="11" xfId="22" applyFont="1" applyFill="1" applyBorder="1" applyAlignment="1">
      <alignment horizontal="center"/>
    </xf>
    <xf numFmtId="0" fontId="34" fillId="17" borderId="11" xfId="22" applyFont="1" applyFill="1" applyBorder="1" applyAlignment="1">
      <alignment horizontal="center"/>
    </xf>
    <xf numFmtId="0" fontId="34" fillId="3" borderId="30" xfId="22" applyFont="1" applyFill="1" applyBorder="1" applyAlignment="1">
      <alignment horizontal="center"/>
    </xf>
    <xf numFmtId="0" fontId="34" fillId="0" borderId="34" xfId="20" applyFont="1" applyBorder="1" applyAlignment="1">
      <alignment horizontal="center"/>
    </xf>
    <xf numFmtId="0" fontId="34" fillId="3" borderId="62" xfId="22" applyFont="1" applyFill="1" applyBorder="1" applyAlignment="1">
      <alignment horizontal="center"/>
    </xf>
    <xf numFmtId="0" fontId="37" fillId="0" borderId="12" xfId="25" applyFont="1" applyBorder="1" applyAlignment="1">
      <alignment horizontal="center" vertical="center"/>
    </xf>
    <xf numFmtId="0" fontId="37" fillId="0" borderId="28" xfId="25" applyFont="1" applyBorder="1" applyAlignment="1">
      <alignment horizontal="center"/>
    </xf>
    <xf numFmtId="0" fontId="44" fillId="0" borderId="10" xfId="20" applyFont="1" applyBorder="1" applyAlignment="1">
      <alignment horizontal="center" vertical="center"/>
    </xf>
    <xf numFmtId="0" fontId="37" fillId="0" borderId="18" xfId="25" applyFont="1" applyBorder="1" applyAlignment="1">
      <alignment horizontal="center" vertical="center"/>
    </xf>
    <xf numFmtId="0" fontId="37" fillId="0" borderId="13" xfId="25" applyFont="1" applyBorder="1" applyAlignment="1">
      <alignment horizontal="center" vertical="center"/>
    </xf>
    <xf numFmtId="0" fontId="37" fillId="0" borderId="0" xfId="25" applyFont="1" applyAlignment="1">
      <alignment horizontal="center" vertical="center"/>
    </xf>
    <xf numFmtId="0" fontId="44" fillId="0" borderId="17" xfId="20" applyFont="1" applyBorder="1" applyAlignment="1">
      <alignment horizontal="center" vertical="center"/>
    </xf>
    <xf numFmtId="0" fontId="78" fillId="0" borderId="32" xfId="0" applyFont="1" applyBorder="1" applyAlignment="1">
      <alignment horizontal="center"/>
    </xf>
    <xf numFmtId="49" fontId="67" fillId="0" borderId="32" xfId="25" applyNumberFormat="1" applyFont="1" applyBorder="1" applyAlignment="1">
      <alignment horizontal="center"/>
    </xf>
    <xf numFmtId="0" fontId="43" fillId="0" borderId="18" xfId="25" applyFont="1" applyBorder="1"/>
    <xf numFmtId="0" fontId="37" fillId="0" borderId="34" xfId="0" applyFont="1" applyBorder="1" applyAlignment="1">
      <alignment horizontal="center" vertical="center"/>
    </xf>
    <xf numFmtId="49" fontId="37" fillId="0" borderId="34" xfId="25" applyNumberFormat="1" applyFont="1" applyBorder="1" applyAlignment="1">
      <alignment horizontal="center" vertical="center"/>
    </xf>
    <xf numFmtId="49" fontId="67" fillId="0" borderId="0" xfId="25" applyNumberFormat="1" applyFont="1" applyAlignment="1">
      <alignment horizontal="center"/>
    </xf>
    <xf numFmtId="49" fontId="43" fillId="0" borderId="18" xfId="25" applyNumberFormat="1" applyFont="1" applyBorder="1" applyAlignment="1">
      <alignment horizontal="left"/>
    </xf>
    <xf numFmtId="0" fontId="34" fillId="0" borderId="0" xfId="25" applyFont="1" applyAlignment="1">
      <alignment horizontal="center" vertical="center" wrapText="1"/>
    </xf>
    <xf numFmtId="0" fontId="45" fillId="0" borderId="0" xfId="25" applyFont="1" applyAlignment="1">
      <alignment horizontal="center" vertical="center" wrapText="1"/>
    </xf>
    <xf numFmtId="0" fontId="37" fillId="0" borderId="28" xfId="25" applyFont="1" applyBorder="1" applyAlignment="1">
      <alignment horizontal="center" vertical="center"/>
    </xf>
    <xf numFmtId="0" fontId="34" fillId="0" borderId="12" xfId="20" applyFont="1" applyBorder="1" applyAlignment="1">
      <alignment horizontal="center" vertical="center"/>
    </xf>
    <xf numFmtId="0" fontId="34" fillId="0" borderId="0" xfId="20" applyFont="1" applyAlignment="1">
      <alignment horizontal="center" vertical="center"/>
    </xf>
    <xf numFmtId="0" fontId="37" fillId="0" borderId="0" xfId="54" applyFont="1" applyAlignment="1">
      <alignment horizontal="center" vertical="center"/>
    </xf>
    <xf numFmtId="0" fontId="34" fillId="0" borderId="0" xfId="54" applyFont="1" applyAlignment="1">
      <alignment horizontal="center" vertical="center"/>
    </xf>
    <xf numFmtId="0" fontId="34" fillId="0" borderId="0" xfId="25" applyFont="1" applyAlignment="1">
      <alignment horizontal="center" vertical="center"/>
    </xf>
    <xf numFmtId="0" fontId="37" fillId="0" borderId="21" xfId="25" applyFont="1" applyBorder="1" applyAlignment="1">
      <alignment horizontal="center" vertical="center"/>
    </xf>
    <xf numFmtId="0" fontId="37" fillId="0" borderId="63" xfId="0" applyFont="1" applyBorder="1" applyAlignment="1">
      <alignment horizontal="center"/>
    </xf>
    <xf numFmtId="0" fontId="37" fillId="0" borderId="10" xfId="0" applyFont="1" applyBorder="1" applyAlignment="1">
      <alignment horizontal="center"/>
    </xf>
    <xf numFmtId="0" fontId="37" fillId="0" borderId="17" xfId="0" applyFont="1" applyBorder="1" applyAlignment="1">
      <alignment horizontal="center"/>
    </xf>
    <xf numFmtId="0" fontId="37" fillId="0" borderId="0" xfId="0" applyFont="1" applyAlignment="1">
      <alignment horizontal="left"/>
    </xf>
    <xf numFmtId="0" fontId="43" fillId="0" borderId="0" xfId="0" applyFont="1" applyAlignment="1">
      <alignment horizontal="right"/>
    </xf>
    <xf numFmtId="0" fontId="37" fillId="0" borderId="10" xfId="0" applyFont="1" applyBorder="1">
      <alignment vertical="center"/>
    </xf>
    <xf numFmtId="0" fontId="43" fillId="0" borderId="32" xfId="0" applyFont="1" applyBorder="1" applyAlignment="1">
      <alignment horizontal="center"/>
    </xf>
    <xf numFmtId="0" fontId="37" fillId="0" borderId="15" xfId="25" applyFont="1" applyBorder="1"/>
    <xf numFmtId="0" fontId="37" fillId="0" borderId="27" xfId="25" applyFont="1" applyBorder="1"/>
    <xf numFmtId="0" fontId="37" fillId="0" borderId="15" xfId="0" applyFont="1" applyBorder="1">
      <alignment vertical="center"/>
    </xf>
    <xf numFmtId="0" fontId="37" fillId="0" borderId="29" xfId="0" applyFont="1" applyBorder="1">
      <alignment vertical="center"/>
    </xf>
    <xf numFmtId="0" fontId="78" fillId="0" borderId="13" xfId="0" applyFont="1" applyBorder="1" applyAlignment="1">
      <alignment horizontal="center"/>
    </xf>
    <xf numFmtId="0" fontId="37" fillId="0" borderId="12" xfId="0" applyFont="1" applyBorder="1" applyAlignment="1">
      <alignment horizontal="center"/>
    </xf>
    <xf numFmtId="0" fontId="44" fillId="26" borderId="0" xfId="21" applyFont="1" applyFill="1" applyAlignment="1">
      <alignment horizontal="center" vertical="center"/>
    </xf>
    <xf numFmtId="0" fontId="34" fillId="26" borderId="0" xfId="21" applyFont="1" applyFill="1" applyAlignment="1">
      <alignment vertical="center"/>
    </xf>
    <xf numFmtId="0" fontId="47" fillId="26" borderId="0" xfId="21" applyFont="1" applyFill="1" applyAlignment="1">
      <alignment horizontal="center" vertical="center"/>
    </xf>
    <xf numFmtId="0" fontId="34" fillId="26" borderId="0" xfId="21" applyFont="1" applyFill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0" fontId="45" fillId="0" borderId="10" xfId="25" applyFont="1" applyBorder="1" applyAlignment="1">
      <alignment horizontal="center" vertical="center" wrapText="1"/>
    </xf>
    <xf numFmtId="0" fontId="45" fillId="0" borderId="12" xfId="25" applyFont="1" applyBorder="1" applyAlignment="1">
      <alignment horizontal="center" vertical="center" wrapText="1"/>
    </xf>
    <xf numFmtId="0" fontId="34" fillId="0" borderId="0" xfId="0" applyFont="1" applyBorder="1">
      <alignment vertical="center"/>
    </xf>
    <xf numFmtId="0" fontId="37" fillId="0" borderId="0" xfId="25" applyFont="1" applyBorder="1"/>
    <xf numFmtId="0" fontId="34" fillId="0" borderId="0" xfId="54" applyFont="1" applyAlignment="1">
      <alignment horizontal="left" vertical="center"/>
    </xf>
    <xf numFmtId="0" fontId="37" fillId="0" borderId="0" xfId="54" applyFont="1" applyAlignment="1">
      <alignment horizontal="left" vertical="center"/>
    </xf>
    <xf numFmtId="0" fontId="77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0" fillId="0" borderId="18" xfId="0" applyFont="1" applyFill="1" applyBorder="1" applyAlignment="1">
      <alignment horizontal="center" vertical="center"/>
    </xf>
    <xf numFmtId="0" fontId="29" fillId="4" borderId="12" xfId="0" applyFont="1" applyFill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7" fillId="0" borderId="0" xfId="25" applyFont="1" applyBorder="1" applyAlignment="1">
      <alignment horizontal="center"/>
    </xf>
    <xf numFmtId="0" fontId="30" fillId="0" borderId="10" xfId="0" applyFont="1" applyFill="1" applyBorder="1" applyAlignment="1">
      <alignment horizontal="center" vertical="center"/>
    </xf>
    <xf numFmtId="0" fontId="31" fillId="0" borderId="15" xfId="0" applyFont="1" applyFill="1" applyBorder="1" applyAlignment="1">
      <alignment horizontal="center" vertical="center"/>
    </xf>
    <xf numFmtId="0" fontId="92" fillId="4" borderId="12" xfId="0" applyFont="1" applyFill="1" applyBorder="1" applyAlignment="1">
      <alignment horizontal="center" vertical="center"/>
    </xf>
    <xf numFmtId="0" fontId="29" fillId="6" borderId="65" xfId="0" applyFont="1" applyFill="1" applyBorder="1" applyAlignment="1">
      <alignment horizontal="center" vertical="center" wrapText="1"/>
    </xf>
    <xf numFmtId="0" fontId="30" fillId="6" borderId="40" xfId="0" applyFont="1" applyFill="1" applyBorder="1" applyAlignment="1">
      <alignment horizontal="center" vertical="center"/>
    </xf>
    <xf numFmtId="0" fontId="30" fillId="4" borderId="40" xfId="0" applyFont="1" applyFill="1" applyBorder="1" applyAlignment="1">
      <alignment horizontal="center" vertical="center"/>
    </xf>
    <xf numFmtId="0" fontId="92" fillId="4" borderId="40" xfId="0" applyFont="1" applyFill="1" applyBorder="1" applyAlignment="1">
      <alignment horizontal="center" vertical="center"/>
    </xf>
    <xf numFmtId="0" fontId="33" fillId="24" borderId="66" xfId="0" applyFont="1" applyFill="1" applyBorder="1" applyAlignment="1">
      <alignment horizontal="center" vertical="center"/>
    </xf>
    <xf numFmtId="0" fontId="29" fillId="6" borderId="67" xfId="0" applyFont="1" applyFill="1" applyBorder="1" applyAlignment="1">
      <alignment horizontal="center" vertical="center"/>
    </xf>
    <xf numFmtId="0" fontId="33" fillId="24" borderId="68" xfId="0" applyFont="1" applyFill="1" applyBorder="1" applyAlignment="1">
      <alignment horizontal="center" vertical="center"/>
    </xf>
    <xf numFmtId="0" fontId="29" fillId="6" borderId="67" xfId="0" applyFont="1" applyFill="1" applyBorder="1" applyAlignment="1">
      <alignment horizontal="center"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30" fillId="6" borderId="42" xfId="0" applyFont="1" applyFill="1" applyBorder="1" applyAlignment="1">
      <alignment horizontal="center" vertical="center"/>
    </xf>
    <xf numFmtId="0" fontId="30" fillId="4" borderId="70" xfId="0" applyFont="1" applyFill="1" applyBorder="1" applyAlignment="1">
      <alignment horizontal="center" vertical="center"/>
    </xf>
    <xf numFmtId="0" fontId="92" fillId="4" borderId="70" xfId="0" applyFont="1" applyFill="1" applyBorder="1" applyAlignment="1">
      <alignment horizontal="center" vertical="center"/>
    </xf>
    <xf numFmtId="0" fontId="33" fillId="24" borderId="71" xfId="0" applyFont="1" applyFill="1" applyBorder="1" applyAlignment="1">
      <alignment horizontal="center" vertical="center"/>
    </xf>
    <xf numFmtId="0" fontId="92" fillId="27" borderId="10" xfId="0" applyFont="1" applyFill="1" applyBorder="1" applyAlignment="1">
      <alignment horizontal="center" vertical="center"/>
    </xf>
    <xf numFmtId="0" fontId="92" fillId="27" borderId="35" xfId="0" applyFont="1" applyFill="1" applyBorder="1" applyAlignment="1">
      <alignment horizontal="center" vertical="center"/>
    </xf>
    <xf numFmtId="0" fontId="89" fillId="0" borderId="17" xfId="0" applyFont="1" applyBorder="1" applyAlignment="1">
      <alignment horizontal="center" vertical="center"/>
    </xf>
    <xf numFmtId="0" fontId="32" fillId="26" borderId="16" xfId="0" applyFont="1" applyFill="1" applyBorder="1" applyAlignment="1">
      <alignment horizontal="center" vertical="center"/>
    </xf>
    <xf numFmtId="0" fontId="89" fillId="24" borderId="72" xfId="0" applyFont="1" applyFill="1" applyBorder="1" applyAlignment="1">
      <alignment horizontal="center" vertical="center"/>
    </xf>
    <xf numFmtId="0" fontId="89" fillId="24" borderId="14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horizontal="center" vertical="center"/>
    </xf>
    <xf numFmtId="0" fontId="30" fillId="0" borderId="35" xfId="0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6" xfId="0" applyBorder="1">
      <alignment vertical="center"/>
    </xf>
    <xf numFmtId="0" fontId="31" fillId="0" borderId="73" xfId="0" applyFont="1" applyBorder="1" applyAlignment="1">
      <alignment horizontal="center" vertical="center"/>
    </xf>
    <xf numFmtId="0" fontId="89" fillId="24" borderId="74" xfId="0" applyFont="1" applyFill="1" applyBorder="1" applyAlignment="1">
      <alignment horizontal="center" vertical="center"/>
    </xf>
    <xf numFmtId="0" fontId="45" fillId="0" borderId="0" xfId="25" applyFont="1" applyBorder="1" applyAlignment="1">
      <alignment horizontal="center" vertical="center" wrapText="1"/>
    </xf>
    <xf numFmtId="0" fontId="45" fillId="0" borderId="35" xfId="25" applyFont="1" applyBorder="1" applyAlignment="1">
      <alignment horizontal="center" vertical="center" wrapText="1"/>
    </xf>
    <xf numFmtId="0" fontId="34" fillId="0" borderId="0" xfId="20" applyFont="1" applyBorder="1"/>
    <xf numFmtId="0" fontId="34" fillId="0" borderId="0" xfId="20" applyFont="1" applyBorder="1" applyAlignment="1">
      <alignment horizontal="left"/>
    </xf>
    <xf numFmtId="0" fontId="34" fillId="0" borderId="34" xfId="20" applyFont="1" applyBorder="1"/>
    <xf numFmtId="0" fontId="34" fillId="0" borderId="30" xfId="20" applyFont="1" applyBorder="1"/>
    <xf numFmtId="0" fontId="34" fillId="0" borderId="30" xfId="20" applyFont="1" applyBorder="1" applyAlignment="1">
      <alignment horizontal="left"/>
    </xf>
    <xf numFmtId="0" fontId="34" fillId="0" borderId="56" xfId="20" applyFont="1" applyBorder="1"/>
    <xf numFmtId="0" fontId="34" fillId="0" borderId="34" xfId="20" applyFont="1" applyBorder="1" applyAlignment="1">
      <alignment horizontal="left"/>
    </xf>
    <xf numFmtId="0" fontId="75" fillId="0" borderId="30" xfId="20" applyFont="1" applyBorder="1" applyAlignment="1">
      <alignment horizontal="left"/>
    </xf>
    <xf numFmtId="0" fontId="34" fillId="0" borderId="56" xfId="20" applyFont="1" applyBorder="1" applyAlignment="1">
      <alignment horizontal="left"/>
    </xf>
    <xf numFmtId="0" fontId="75" fillId="0" borderId="34" xfId="20" applyFont="1" applyBorder="1" applyAlignment="1">
      <alignment horizontal="left"/>
    </xf>
    <xf numFmtId="0" fontId="34" fillId="17" borderId="15" xfId="50" applyFont="1" applyFill="1" applyBorder="1" applyAlignment="1">
      <alignment horizontal="center"/>
    </xf>
    <xf numFmtId="0" fontId="34" fillId="0" borderId="17" xfId="50" applyFont="1" applyBorder="1" applyAlignment="1">
      <alignment horizontal="center"/>
    </xf>
    <xf numFmtId="0" fontId="29" fillId="17" borderId="69" xfId="0" applyFont="1" applyFill="1" applyBorder="1" applyAlignment="1">
      <alignment horizontal="center" vertical="center" wrapText="1"/>
    </xf>
    <xf numFmtId="0" fontId="32" fillId="0" borderId="75" xfId="0" applyFont="1" applyBorder="1" applyAlignment="1">
      <alignment horizontal="center" vertical="center"/>
    </xf>
    <xf numFmtId="0" fontId="30" fillId="0" borderId="76" xfId="0" applyFont="1" applyBorder="1" applyAlignment="1">
      <alignment horizontal="center" vertical="center"/>
    </xf>
    <xf numFmtId="0" fontId="30" fillId="0" borderId="77" xfId="0" applyFont="1" applyBorder="1" applyAlignment="1">
      <alignment horizontal="center" vertical="center"/>
    </xf>
    <xf numFmtId="0" fontId="30" fillId="0" borderId="78" xfId="0" applyFont="1" applyBorder="1" applyAlignment="1">
      <alignment horizontal="center" vertical="center"/>
    </xf>
    <xf numFmtId="0" fontId="30" fillId="4" borderId="79" xfId="0" applyFont="1" applyFill="1" applyBorder="1" applyAlignment="1">
      <alignment horizontal="center" vertical="center"/>
    </xf>
    <xf numFmtId="0" fontId="30" fillId="4" borderId="80" xfId="0" applyFont="1" applyFill="1" applyBorder="1" applyAlignment="1">
      <alignment horizontal="center" vertical="center"/>
    </xf>
    <xf numFmtId="0" fontId="30" fillId="4" borderId="34" xfId="0" applyFont="1" applyFill="1" applyBorder="1" applyAlignment="1">
      <alignment horizontal="center" vertical="center"/>
    </xf>
    <xf numFmtId="0" fontId="32" fillId="0" borderId="27" xfId="0" applyFont="1" applyBorder="1" applyAlignment="1">
      <alignment horizontal="center" vertical="center"/>
    </xf>
    <xf numFmtId="0" fontId="53" fillId="24" borderId="81" xfId="0" applyFont="1" applyFill="1" applyBorder="1" applyAlignment="1">
      <alignment horizontal="center" vertical="center"/>
    </xf>
    <xf numFmtId="0" fontId="29" fillId="0" borderId="34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/>
    </xf>
    <xf numFmtId="0" fontId="30" fillId="0" borderId="34" xfId="0" applyFont="1" applyBorder="1" applyAlignment="1">
      <alignment horizontal="center"/>
    </xf>
    <xf numFmtId="0" fontId="30" fillId="0" borderId="34" xfId="0" applyFont="1" applyFill="1" applyBorder="1" applyAlignment="1">
      <alignment horizontal="center" vertical="center"/>
    </xf>
    <xf numFmtId="0" fontId="30" fillId="0" borderId="34" xfId="0" applyFont="1" applyFill="1" applyBorder="1" applyAlignment="1">
      <alignment horizontal="center"/>
    </xf>
    <xf numFmtId="0" fontId="92" fillId="27" borderId="34" xfId="0" applyFont="1" applyFill="1" applyBorder="1" applyAlignment="1">
      <alignment horizontal="center" vertical="center"/>
    </xf>
    <xf numFmtId="0" fontId="58" fillId="0" borderId="34" xfId="0" applyFont="1" applyFill="1" applyBorder="1" applyAlignment="1">
      <alignment horizontal="center" vertical="center"/>
    </xf>
    <xf numFmtId="0" fontId="92" fillId="27" borderId="34" xfId="0" applyFont="1" applyFill="1" applyBorder="1" applyAlignment="1">
      <alignment horizontal="center"/>
    </xf>
    <xf numFmtId="0" fontId="32" fillId="0" borderId="29" xfId="0" applyFont="1" applyBorder="1" applyAlignment="1">
      <alignment horizontal="center" vertical="center" wrapText="1"/>
    </xf>
    <xf numFmtId="0" fontId="92" fillId="4" borderId="82" xfId="0" applyFont="1" applyFill="1" applyBorder="1" applyAlignment="1">
      <alignment horizontal="center" vertical="center"/>
    </xf>
    <xf numFmtId="0" fontId="31" fillId="0" borderId="82" xfId="0" applyFont="1" applyBorder="1" applyAlignment="1">
      <alignment horizontal="center" vertical="center"/>
    </xf>
    <xf numFmtId="0" fontId="31" fillId="0" borderId="82" xfId="0" applyFont="1" applyFill="1" applyBorder="1" applyAlignment="1">
      <alignment horizontal="center" vertical="center"/>
    </xf>
    <xf numFmtId="0" fontId="32" fillId="0" borderId="83" xfId="0" applyFont="1" applyBorder="1" applyAlignment="1">
      <alignment horizontal="center" vertical="center"/>
    </xf>
    <xf numFmtId="0" fontId="44" fillId="0" borderId="0" xfId="0" applyFont="1" applyBorder="1">
      <alignment vertical="center"/>
    </xf>
    <xf numFmtId="0" fontId="32" fillId="0" borderId="84" xfId="0" applyFont="1" applyBorder="1" applyAlignment="1">
      <alignment horizontal="center" vertical="center"/>
    </xf>
    <xf numFmtId="0" fontId="32" fillId="0" borderId="85" xfId="0" applyFont="1" applyBorder="1" applyAlignment="1">
      <alignment horizontal="center" vertical="center"/>
    </xf>
    <xf numFmtId="0" fontId="32" fillId="24" borderId="86" xfId="0" applyFont="1" applyFill="1" applyBorder="1" applyAlignment="1">
      <alignment horizontal="center" vertical="center"/>
    </xf>
    <xf numFmtId="0" fontId="32" fillId="24" borderId="87" xfId="0" applyFont="1" applyFill="1" applyBorder="1" applyAlignment="1">
      <alignment horizontal="center" vertical="center"/>
    </xf>
    <xf numFmtId="0" fontId="89" fillId="24" borderId="87" xfId="0" applyFont="1" applyFill="1" applyBorder="1" applyAlignment="1">
      <alignment horizontal="center" vertical="center"/>
    </xf>
    <xf numFmtId="0" fontId="32" fillId="0" borderId="32" xfId="0" applyFont="1" applyBorder="1" applyAlignment="1">
      <alignment horizontal="center" vertical="center"/>
    </xf>
    <xf numFmtId="0" fontId="32" fillId="0" borderId="56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 wrapText="1"/>
    </xf>
    <xf numFmtId="0" fontId="30" fillId="0" borderId="46" xfId="0" applyFont="1" applyBorder="1" applyAlignment="1">
      <alignment horizontal="center" vertical="center"/>
    </xf>
    <xf numFmtId="0" fontId="30" fillId="0" borderId="46" xfId="0" applyFont="1" applyBorder="1" applyAlignment="1">
      <alignment horizontal="center"/>
    </xf>
    <xf numFmtId="0" fontId="30" fillId="4" borderId="46" xfId="0" applyFont="1" applyFill="1" applyBorder="1" applyAlignment="1">
      <alignment horizontal="center" vertical="center"/>
    </xf>
    <xf numFmtId="0" fontId="31" fillId="0" borderId="88" xfId="0" applyFont="1" applyBorder="1" applyAlignment="1">
      <alignment horizontal="center" vertical="center"/>
    </xf>
    <xf numFmtId="0" fontId="32" fillId="24" borderId="89" xfId="0" applyFont="1" applyFill="1" applyBorder="1" applyAlignment="1">
      <alignment horizontal="center" vertical="center"/>
    </xf>
    <xf numFmtId="0" fontId="32" fillId="0" borderId="90" xfId="0" applyFont="1" applyBorder="1" applyAlignment="1">
      <alignment horizontal="center" vertical="center"/>
    </xf>
    <xf numFmtId="0" fontId="30" fillId="4" borderId="91" xfId="0" applyFont="1" applyFill="1" applyBorder="1" applyAlignment="1">
      <alignment horizontal="center" vertical="center"/>
    </xf>
    <xf numFmtId="0" fontId="92" fillId="4" borderId="92" xfId="0" applyFont="1" applyFill="1" applyBorder="1" applyAlignment="1">
      <alignment horizontal="center" vertical="center"/>
    </xf>
    <xf numFmtId="0" fontId="32" fillId="0" borderId="93" xfId="0" applyFont="1" applyBorder="1" applyAlignment="1">
      <alignment horizontal="center" vertical="center"/>
    </xf>
    <xf numFmtId="0" fontId="30" fillId="4" borderId="94" xfId="0" applyFont="1" applyFill="1" applyBorder="1" applyAlignment="1">
      <alignment horizontal="center" vertical="center"/>
    </xf>
    <xf numFmtId="0" fontId="92" fillId="4" borderId="95" xfId="0" applyFont="1" applyFill="1" applyBorder="1" applyAlignment="1">
      <alignment horizontal="center" vertical="center"/>
    </xf>
    <xf numFmtId="0" fontId="32" fillId="24" borderId="96" xfId="0" applyFont="1" applyFill="1" applyBorder="1" applyAlignment="1">
      <alignment horizontal="center" vertical="center"/>
    </xf>
    <xf numFmtId="0" fontId="89" fillId="24" borderId="96" xfId="0" applyFont="1" applyFill="1" applyBorder="1" applyAlignment="1">
      <alignment horizontal="center" vertical="center"/>
    </xf>
    <xf numFmtId="0" fontId="30" fillId="0" borderId="46" xfId="0" applyFont="1" applyFill="1" applyBorder="1" applyAlignment="1">
      <alignment horizontal="center" vertical="center"/>
    </xf>
    <xf numFmtId="0" fontId="37" fillId="0" borderId="32" xfId="25" applyFont="1" applyBorder="1" applyAlignment="1">
      <alignment horizontal="left"/>
    </xf>
    <xf numFmtId="0" fontId="67" fillId="0" borderId="32" xfId="25" applyFont="1" applyBorder="1" applyAlignment="1">
      <alignment horizontal="center"/>
    </xf>
    <xf numFmtId="164" fontId="67" fillId="0" borderId="32" xfId="25" applyNumberFormat="1" applyFont="1" applyBorder="1" applyAlignment="1">
      <alignment horizontal="center"/>
    </xf>
    <xf numFmtId="0" fontId="37" fillId="0" borderId="27" xfId="25" applyFont="1" applyBorder="1" applyAlignment="1">
      <alignment horizontal="center"/>
    </xf>
    <xf numFmtId="0" fontId="43" fillId="0" borderId="32" xfId="25" applyFont="1" applyBorder="1" applyAlignment="1">
      <alignment horizontal="center"/>
    </xf>
    <xf numFmtId="0" fontId="67" fillId="0" borderId="12" xfId="25" applyFont="1" applyBorder="1" applyAlignment="1">
      <alignment horizontal="center"/>
    </xf>
    <xf numFmtId="0" fontId="67" fillId="0" borderId="10" xfId="25" applyFont="1" applyBorder="1" applyAlignment="1">
      <alignment horizontal="center"/>
    </xf>
    <xf numFmtId="0" fontId="77" fillId="0" borderId="0" xfId="25" applyFont="1" applyAlignment="1">
      <alignment horizontal="center"/>
    </xf>
    <xf numFmtId="0" fontId="67" fillId="0" borderId="18" xfId="25" applyFont="1" applyBorder="1" applyAlignment="1">
      <alignment horizontal="center"/>
    </xf>
    <xf numFmtId="0" fontId="37" fillId="0" borderId="12" xfId="0" applyFont="1" applyBorder="1">
      <alignment vertical="center"/>
    </xf>
    <xf numFmtId="0" fontId="34" fillId="0" borderId="46" xfId="0" applyFont="1" applyBorder="1" applyAlignment="1">
      <alignment horizontal="center" vertical="center"/>
    </xf>
    <xf numFmtId="0" fontId="37" fillId="0" borderId="30" xfId="25" applyFont="1" applyBorder="1" applyAlignment="1">
      <alignment horizontal="right"/>
    </xf>
    <xf numFmtId="0" fontId="37" fillId="0" borderId="12" xfId="25" applyFont="1" applyBorder="1" applyAlignment="1">
      <alignment horizontal="right"/>
    </xf>
    <xf numFmtId="0" fontId="37" fillId="0" borderId="29" xfId="25" applyFont="1" applyBorder="1" applyAlignment="1">
      <alignment horizontal="center"/>
    </xf>
    <xf numFmtId="20" fontId="67" fillId="0" borderId="32" xfId="25" applyNumberFormat="1" applyFont="1" applyBorder="1" applyAlignment="1">
      <alignment horizontal="center"/>
    </xf>
    <xf numFmtId="0" fontId="44" fillId="0" borderId="0" xfId="50" applyFont="1" applyAlignment="1">
      <alignment horizontal="left"/>
    </xf>
    <xf numFmtId="0" fontId="82" fillId="0" borderId="0" xfId="50" applyFont="1" applyAlignment="1">
      <alignment horizontal="center"/>
    </xf>
    <xf numFmtId="0" fontId="44" fillId="0" borderId="0" xfId="50" applyFont="1"/>
    <xf numFmtId="0" fontId="34" fillId="0" borderId="13" xfId="50" applyFont="1" applyBorder="1" applyAlignment="1">
      <alignment horizontal="center"/>
    </xf>
    <xf numFmtId="0" fontId="34" fillId="0" borderId="12" xfId="50" applyFont="1" applyBorder="1"/>
    <xf numFmtId="0" fontId="34" fillId="0" borderId="10" xfId="53" applyFont="1" applyBorder="1" applyAlignment="1">
      <alignment horizontal="center"/>
    </xf>
    <xf numFmtId="0" fontId="34" fillId="17" borderId="15" xfId="53" applyFont="1" applyFill="1" applyBorder="1" applyAlignment="1">
      <alignment horizontal="center"/>
    </xf>
    <xf numFmtId="0" fontId="34" fillId="0" borderId="17" xfId="53" applyFont="1" applyBorder="1" applyAlignment="1">
      <alignment horizontal="center"/>
    </xf>
    <xf numFmtId="0" fontId="34" fillId="0" borderId="13" xfId="20" applyFont="1" applyBorder="1" applyAlignment="1">
      <alignment horizontal="center"/>
    </xf>
    <xf numFmtId="0" fontId="34" fillId="0" borderId="18" xfId="20" applyFont="1" applyBorder="1" applyAlignment="1">
      <alignment horizontal="center"/>
    </xf>
    <xf numFmtId="0" fontId="34" fillId="0" borderId="53" xfId="0" applyFont="1" applyBorder="1">
      <alignment vertical="center"/>
    </xf>
    <xf numFmtId="0" fontId="34" fillId="0" borderId="90" xfId="0" applyFont="1" applyBorder="1">
      <alignment vertical="center"/>
    </xf>
    <xf numFmtId="0" fontId="43" fillId="0" borderId="0" xfId="20" applyFont="1"/>
    <xf numFmtId="0" fontId="44" fillId="0" borderId="0" xfId="20" applyFont="1"/>
    <xf numFmtId="0" fontId="34" fillId="0" borderId="118" xfId="22" applyFont="1" applyBorder="1" applyAlignment="1">
      <alignment horizontal="center"/>
    </xf>
    <xf numFmtId="0" fontId="34" fillId="0" borderId="119" xfId="22" applyFont="1" applyBorder="1" applyAlignment="1">
      <alignment horizontal="center"/>
    </xf>
    <xf numFmtId="0" fontId="91" fillId="0" borderId="97" xfId="51" applyFont="1" applyBorder="1" applyAlignment="1">
      <alignment horizontal="center" vertical="center"/>
    </xf>
    <xf numFmtId="0" fontId="91" fillId="0" borderId="98" xfId="51" applyFont="1" applyBorder="1" applyAlignment="1">
      <alignment horizontal="center" vertical="center"/>
    </xf>
    <xf numFmtId="0" fontId="34" fillId="0" borderId="99" xfId="21" applyFont="1" applyBorder="1" applyAlignment="1">
      <alignment horizontal="center" vertical="center"/>
    </xf>
    <xf numFmtId="0" fontId="91" fillId="0" borderId="0" xfId="51" applyFont="1" applyAlignment="1">
      <alignment horizontal="center" vertical="center"/>
    </xf>
    <xf numFmtId="0" fontId="91" fillId="0" borderId="0" xfId="0" applyFont="1" applyAlignment="1">
      <alignment horizontal="center" vertical="center"/>
    </xf>
    <xf numFmtId="0" fontId="34" fillId="0" borderId="100" xfId="21" applyFont="1" applyBorder="1" applyAlignment="1">
      <alignment horizontal="center" vertical="center"/>
    </xf>
    <xf numFmtId="0" fontId="91" fillId="0" borderId="101" xfId="51" applyFont="1" applyBorder="1" applyAlignment="1">
      <alignment horizontal="center" vertical="center"/>
    </xf>
    <xf numFmtId="0" fontId="91" fillId="0" borderId="102" xfId="51" applyFont="1" applyBorder="1" applyAlignment="1">
      <alignment horizontal="center" vertical="center"/>
    </xf>
    <xf numFmtId="0" fontId="34" fillId="0" borderId="103" xfId="21" applyFont="1" applyBorder="1" applyAlignment="1">
      <alignment horizontal="center" vertical="center"/>
    </xf>
    <xf numFmtId="0" fontId="85" fillId="0" borderId="10" xfId="20" applyFont="1" applyBorder="1" applyAlignment="1">
      <alignment horizontal="left"/>
    </xf>
    <xf numFmtId="0" fontId="34" fillId="28" borderId="34" xfId="20" applyFont="1" applyFill="1" applyBorder="1"/>
    <xf numFmtId="0" fontId="34" fillId="28" borderId="34" xfId="20" applyFont="1" applyFill="1" applyBorder="1" applyAlignment="1">
      <alignment horizontal="left"/>
    </xf>
    <xf numFmtId="0" fontId="34" fillId="0" borderId="34" xfId="0" applyFont="1" applyBorder="1" applyAlignment="1">
      <alignment horizontal="left" vertical="center"/>
    </xf>
    <xf numFmtId="0" fontId="34" fillId="28" borderId="10" xfId="20" applyFont="1" applyFill="1" applyBorder="1"/>
    <xf numFmtId="0" fontId="34" fillId="28" borderId="10" xfId="20" applyFont="1" applyFill="1" applyBorder="1" applyAlignment="1">
      <alignment horizontal="left"/>
    </xf>
    <xf numFmtId="0" fontId="34" fillId="28" borderId="0" xfId="0" applyFont="1" applyFill="1">
      <alignment vertical="center"/>
    </xf>
    <xf numFmtId="0" fontId="34" fillId="28" borderId="0" xfId="20" applyFont="1" applyFill="1"/>
    <xf numFmtId="0" fontId="34" fillId="28" borderId="34" xfId="0" applyFont="1" applyFill="1" applyBorder="1">
      <alignment vertical="center"/>
    </xf>
    <xf numFmtId="0" fontId="34" fillId="28" borderId="56" xfId="20" applyFont="1" applyFill="1" applyBorder="1"/>
    <xf numFmtId="0" fontId="86" fillId="0" borderId="34" xfId="0" applyFont="1" applyBorder="1" applyAlignment="1">
      <alignment horizontal="center" vertical="center"/>
    </xf>
    <xf numFmtId="0" fontId="85" fillId="0" borderId="24" xfId="20" applyFont="1" applyBorder="1" applyAlignment="1">
      <alignment horizontal="center"/>
    </xf>
    <xf numFmtId="0" fontId="85" fillId="28" borderId="10" xfId="20" applyFont="1" applyFill="1" applyBorder="1" applyAlignment="1">
      <alignment horizontal="left"/>
    </xf>
    <xf numFmtId="0" fontId="32" fillId="0" borderId="0" xfId="0" applyFont="1" applyFill="1" applyBorder="1" applyAlignment="1">
      <alignment horizontal="center" vertical="center"/>
    </xf>
    <xf numFmtId="0" fontId="34" fillId="0" borderId="34" xfId="20" applyFont="1" applyBorder="1" applyAlignment="1">
      <alignment horizontal="left" vertical="center"/>
    </xf>
    <xf numFmtId="0" fontId="34" fillId="0" borderId="10" xfId="20" quotePrefix="1" applyFont="1" applyBorder="1" applyAlignment="1">
      <alignment horizontal="center"/>
    </xf>
    <xf numFmtId="0" fontId="34" fillId="0" borderId="12" xfId="0" applyFont="1" applyBorder="1" applyAlignment="1">
      <alignment horizontal="center" vertical="center"/>
    </xf>
    <xf numFmtId="0" fontId="86" fillId="0" borderId="34" xfId="0" applyFont="1" applyFill="1" applyBorder="1" applyAlignment="1">
      <alignment horizontal="center" vertical="center"/>
    </xf>
    <xf numFmtId="0" fontId="58" fillId="4" borderId="12" xfId="0" applyFont="1" applyFill="1" applyBorder="1" applyAlignment="1">
      <alignment horizontal="center" vertical="center"/>
    </xf>
    <xf numFmtId="0" fontId="85" fillId="0" borderId="0" xfId="0" applyFont="1" applyAlignment="1">
      <alignment horizontal="center" vertical="center"/>
    </xf>
    <xf numFmtId="165" fontId="34" fillId="0" borderId="0" xfId="0" applyNumberFormat="1" applyFont="1" applyAlignment="1">
      <alignment horizontal="center" vertical="center"/>
    </xf>
    <xf numFmtId="0" fontId="34" fillId="29" borderId="30" xfId="21" applyFont="1" applyFill="1" applyBorder="1" applyAlignment="1">
      <alignment horizontal="center" vertical="center"/>
    </xf>
    <xf numFmtId="0" fontId="91" fillId="29" borderId="46" xfId="51" applyFont="1" applyFill="1" applyBorder="1" applyAlignment="1">
      <alignment horizontal="center" vertical="center"/>
    </xf>
    <xf numFmtId="0" fontId="34" fillId="29" borderId="10" xfId="21" applyFont="1" applyFill="1" applyBorder="1" applyAlignment="1">
      <alignment horizontal="center" vertical="center"/>
    </xf>
    <xf numFmtId="0" fontId="34" fillId="29" borderId="12" xfId="21" applyFont="1" applyFill="1" applyBorder="1" applyAlignment="1">
      <alignment horizontal="center" vertical="center"/>
    </xf>
    <xf numFmtId="20" fontId="34" fillId="29" borderId="30" xfId="21" applyNumberFormat="1" applyFont="1" applyFill="1" applyBorder="1" applyAlignment="1">
      <alignment horizontal="center" vertical="center"/>
    </xf>
    <xf numFmtId="0" fontId="34" fillId="29" borderId="10" xfId="0" applyFont="1" applyFill="1" applyBorder="1" applyAlignment="1">
      <alignment horizontal="center" vertical="center"/>
    </xf>
    <xf numFmtId="0" fontId="34" fillId="29" borderId="0" xfId="21" applyFont="1" applyFill="1" applyAlignment="1">
      <alignment horizontal="center" vertical="center"/>
    </xf>
    <xf numFmtId="0" fontId="34" fillId="29" borderId="10" xfId="21" applyFont="1" applyFill="1" applyBorder="1" applyAlignment="1">
      <alignment vertical="center"/>
    </xf>
    <xf numFmtId="0" fontId="34" fillId="29" borderId="17" xfId="0" applyFont="1" applyFill="1" applyBorder="1" applyAlignment="1">
      <alignment horizontal="center" vertical="center"/>
    </xf>
    <xf numFmtId="20" fontId="34" fillId="29" borderId="10" xfId="21" applyNumberFormat="1" applyFont="1" applyFill="1" applyBorder="1" applyAlignment="1">
      <alignment horizontal="center" vertical="center"/>
    </xf>
    <xf numFmtId="0" fontId="34" fillId="29" borderId="0" xfId="0" applyFont="1" applyFill="1" applyAlignment="1">
      <alignment horizontal="center" vertical="center"/>
    </xf>
    <xf numFmtId="0" fontId="34" fillId="29" borderId="30" xfId="0" applyFont="1" applyFill="1" applyBorder="1" applyAlignment="1">
      <alignment horizontal="center" vertical="center"/>
    </xf>
    <xf numFmtId="0" fontId="34" fillId="29" borderId="15" xfId="21" applyFont="1" applyFill="1" applyBorder="1" applyAlignment="1">
      <alignment horizontal="center" vertical="center"/>
    </xf>
    <xf numFmtId="0" fontId="34" fillId="29" borderId="34" xfId="21" applyFont="1" applyFill="1" applyBorder="1" applyAlignment="1">
      <alignment horizontal="center" vertical="center"/>
    </xf>
    <xf numFmtId="20" fontId="34" fillId="29" borderId="34" xfId="21" applyNumberFormat="1" applyFont="1" applyFill="1" applyBorder="1" applyAlignment="1">
      <alignment horizontal="center" vertical="center"/>
    </xf>
    <xf numFmtId="0" fontId="34" fillId="29" borderId="34" xfId="21" applyFont="1" applyFill="1" applyBorder="1" applyAlignment="1">
      <alignment vertical="center"/>
    </xf>
    <xf numFmtId="0" fontId="34" fillId="29" borderId="0" xfId="21" applyFont="1" applyFill="1" applyAlignment="1">
      <alignment vertical="center"/>
    </xf>
    <xf numFmtId="0" fontId="34" fillId="29" borderId="34" xfId="0" applyFont="1" applyFill="1" applyBorder="1" applyAlignment="1">
      <alignment horizontal="center" vertical="center"/>
    </xf>
    <xf numFmtId="0" fontId="34" fillId="29" borderId="13" xfId="0" applyFont="1" applyFill="1" applyBorder="1" applyAlignment="1">
      <alignment horizontal="center" vertical="center"/>
    </xf>
    <xf numFmtId="0" fontId="34" fillId="29" borderId="15" xfId="0" applyFont="1" applyFill="1" applyBorder="1" applyAlignment="1">
      <alignment horizontal="center" vertical="center"/>
    </xf>
    <xf numFmtId="0" fontId="34" fillId="0" borderId="30" xfId="21" applyFont="1" applyFill="1" applyBorder="1" applyAlignment="1">
      <alignment horizontal="center" vertical="center"/>
    </xf>
    <xf numFmtId="0" fontId="91" fillId="0" borderId="46" xfId="51" applyFont="1" applyFill="1" applyBorder="1" applyAlignment="1">
      <alignment horizontal="center" vertical="center"/>
    </xf>
    <xf numFmtId="0" fontId="91" fillId="0" borderId="88" xfId="51" applyFont="1" applyFill="1" applyBorder="1" applyAlignment="1">
      <alignment horizontal="center" vertical="center"/>
    </xf>
    <xf numFmtId="0" fontId="34" fillId="0" borderId="34" xfId="21" applyFont="1" applyFill="1" applyBorder="1" applyAlignment="1">
      <alignment horizontal="center" vertical="center"/>
    </xf>
    <xf numFmtId="20" fontId="34" fillId="0" borderId="29" xfId="21" applyNumberFormat="1" applyFont="1" applyFill="1" applyBorder="1" applyAlignment="1">
      <alignment horizontal="center" vertical="center"/>
    </xf>
    <xf numFmtId="0" fontId="34" fillId="0" borderId="82" xfId="21" applyFont="1" applyFill="1" applyBorder="1" applyAlignment="1">
      <alignment horizontal="center" vertical="center"/>
    </xf>
    <xf numFmtId="0" fontId="34" fillId="0" borderId="34" xfId="21" applyFont="1" applyFill="1" applyBorder="1" applyAlignment="1">
      <alignment vertical="center"/>
    </xf>
    <xf numFmtId="0" fontId="34" fillId="0" borderId="34" xfId="0" applyFont="1" applyFill="1" applyBorder="1" applyAlignment="1">
      <alignment horizontal="center" vertical="center"/>
    </xf>
    <xf numFmtId="20" fontId="34" fillId="0" borderId="30" xfId="21" applyNumberFormat="1" applyFont="1" applyFill="1" applyBorder="1" applyAlignment="1">
      <alignment horizontal="center" vertical="center"/>
    </xf>
    <xf numFmtId="0" fontId="34" fillId="0" borderId="13" xfId="21" applyFont="1" applyFill="1" applyBorder="1" applyAlignment="1">
      <alignment horizontal="center" vertical="center"/>
    </xf>
    <xf numFmtId="0" fontId="34" fillId="0" borderId="15" xfId="21" applyFont="1" applyFill="1" applyBorder="1" applyAlignment="1">
      <alignment horizontal="center" vertical="center"/>
    </xf>
    <xf numFmtId="0" fontId="34" fillId="0" borderId="29" xfId="21" applyFont="1" applyFill="1" applyBorder="1" applyAlignment="1">
      <alignment horizontal="center" vertical="center"/>
    </xf>
    <xf numFmtId="20" fontId="34" fillId="0" borderId="10" xfId="21" applyNumberFormat="1" applyFont="1" applyFill="1" applyBorder="1" applyAlignment="1">
      <alignment horizontal="center" vertical="center"/>
    </xf>
    <xf numFmtId="0" fontId="34" fillId="0" borderId="34" xfId="0" applyFont="1" applyFill="1" applyBorder="1">
      <alignment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17" xfId="21" applyFont="1" applyFill="1" applyBorder="1" applyAlignment="1">
      <alignment horizontal="center" vertical="center"/>
    </xf>
    <xf numFmtId="0" fontId="34" fillId="0" borderId="10" xfId="21" applyFont="1" applyFill="1" applyBorder="1" applyAlignment="1">
      <alignment horizontal="center" vertical="center"/>
    </xf>
    <xf numFmtId="0" fontId="47" fillId="0" borderId="0" xfId="21" applyFont="1" applyBorder="1" applyAlignment="1">
      <alignment horizontal="center" vertical="center"/>
    </xf>
    <xf numFmtId="20" fontId="34" fillId="0" borderId="12" xfId="21" applyNumberFormat="1" applyFont="1" applyBorder="1" applyAlignment="1">
      <alignment horizontal="center" vertical="center"/>
    </xf>
    <xf numFmtId="0" fontId="34" fillId="29" borderId="17" xfId="21" applyFont="1" applyFill="1" applyBorder="1" applyAlignment="1">
      <alignment horizontal="center" vertical="center"/>
    </xf>
    <xf numFmtId="0" fontId="34" fillId="29" borderId="15" xfId="21" applyFont="1" applyFill="1" applyBorder="1" applyAlignment="1">
      <alignment horizontal="center" vertical="center"/>
    </xf>
    <xf numFmtId="0" fontId="34" fillId="29" borderId="17" xfId="21" applyFont="1" applyFill="1" applyBorder="1" applyAlignment="1">
      <alignment horizontal="center" vertical="center"/>
    </xf>
    <xf numFmtId="0" fontId="34" fillId="29" borderId="17" xfId="21" applyFont="1" applyFill="1" applyBorder="1" applyAlignment="1">
      <alignment vertical="center"/>
    </xf>
    <xf numFmtId="0" fontId="34" fillId="29" borderId="18" xfId="0" applyFont="1" applyFill="1" applyBorder="1" applyAlignment="1">
      <alignment horizontal="center" vertical="center"/>
    </xf>
    <xf numFmtId="0" fontId="34" fillId="29" borderId="12" xfId="0" applyFont="1" applyFill="1" applyBorder="1" applyAlignment="1">
      <alignment horizontal="center" vertical="center"/>
    </xf>
    <xf numFmtId="0" fontId="76" fillId="0" borderId="32" xfId="0" applyFont="1" applyBorder="1" applyAlignment="1">
      <alignment horizontal="center"/>
    </xf>
    <xf numFmtId="0" fontId="48" fillId="0" borderId="53" xfId="0" applyFont="1" applyBorder="1">
      <alignment vertical="center"/>
    </xf>
    <xf numFmtId="49" fontId="48" fillId="0" borderId="32" xfId="25" applyNumberFormat="1" applyFont="1" applyBorder="1" applyAlignment="1">
      <alignment horizontal="center"/>
    </xf>
    <xf numFmtId="0" fontId="34" fillId="28" borderId="35" xfId="20" applyFont="1" applyFill="1" applyBorder="1" applyAlignment="1">
      <alignment horizontal="left"/>
    </xf>
    <xf numFmtId="0" fontId="34" fillId="0" borderId="0" xfId="2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20" fontId="34" fillId="0" borderId="0" xfId="21" applyNumberFormat="1" applyFont="1" applyBorder="1" applyAlignment="1">
      <alignment horizontal="center" vertical="center"/>
    </xf>
    <xf numFmtId="0" fontId="34" fillId="0" borderId="0" xfId="21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91" fillId="0" borderId="46" xfId="51" applyFont="1" applyBorder="1" applyAlignment="1">
      <alignment horizontal="center" vertical="center"/>
    </xf>
    <xf numFmtId="0" fontId="34" fillId="0" borderId="10" xfId="21" applyFont="1" applyBorder="1" applyAlignment="1">
      <alignment horizontal="center" vertical="center"/>
    </xf>
    <xf numFmtId="0" fontId="34" fillId="31" borderId="30" xfId="21" applyFont="1" applyFill="1" applyBorder="1" applyAlignment="1">
      <alignment horizontal="center" vertical="center"/>
    </xf>
    <xf numFmtId="0" fontId="91" fillId="31" borderId="64" xfId="51" applyFont="1" applyFill="1" applyBorder="1" applyAlignment="1">
      <alignment horizontal="center" vertical="center"/>
    </xf>
    <xf numFmtId="0" fontId="34" fillId="31" borderId="11" xfId="21" applyFont="1" applyFill="1" applyBorder="1" applyAlignment="1">
      <alignment horizontal="center" vertical="center"/>
    </xf>
    <xf numFmtId="20" fontId="34" fillId="31" borderId="30" xfId="21" applyNumberFormat="1" applyFont="1" applyFill="1" applyBorder="1" applyAlignment="1">
      <alignment horizontal="center" vertical="center"/>
    </xf>
    <xf numFmtId="0" fontId="34" fillId="31" borderId="15" xfId="21" applyFont="1" applyFill="1" applyBorder="1" applyAlignment="1">
      <alignment horizontal="center" vertical="center"/>
    </xf>
    <xf numFmtId="0" fontId="34" fillId="31" borderId="34" xfId="21" applyFont="1" applyFill="1" applyBorder="1" applyAlignment="1">
      <alignment horizontal="center" vertical="center"/>
    </xf>
    <xf numFmtId="0" fontId="34" fillId="31" borderId="17" xfId="21" applyFont="1" applyFill="1" applyBorder="1" applyAlignment="1">
      <alignment vertical="center"/>
    </xf>
    <xf numFmtId="0" fontId="34" fillId="31" borderId="10" xfId="0" applyFont="1" applyFill="1" applyBorder="1" applyAlignment="1">
      <alignment horizontal="center" vertical="center"/>
    </xf>
    <xf numFmtId="0" fontId="34" fillId="31" borderId="17" xfId="0" applyFont="1" applyFill="1" applyBorder="1" applyAlignment="1">
      <alignment horizontal="center" vertical="center"/>
    </xf>
    <xf numFmtId="0" fontId="34" fillId="31" borderId="29" xfId="21" applyFont="1" applyFill="1" applyBorder="1" applyAlignment="1">
      <alignment horizontal="center" vertical="center"/>
    </xf>
    <xf numFmtId="0" fontId="34" fillId="31" borderId="27" xfId="0" applyFont="1" applyFill="1" applyBorder="1" applyAlignment="1">
      <alignment horizontal="center" vertical="center"/>
    </xf>
    <xf numFmtId="0" fontId="34" fillId="31" borderId="83" xfId="0" applyFont="1" applyFill="1" applyBorder="1" applyAlignment="1">
      <alignment horizontal="center" vertical="center"/>
    </xf>
    <xf numFmtId="0" fontId="34" fillId="31" borderId="34" xfId="0" applyFont="1" applyFill="1" applyBorder="1" applyAlignment="1">
      <alignment horizontal="center" vertical="center"/>
    </xf>
    <xf numFmtId="20" fontId="34" fillId="31" borderId="34" xfId="21" applyNumberFormat="1" applyFont="1" applyFill="1" applyBorder="1" applyAlignment="1">
      <alignment horizontal="center" vertical="center"/>
    </xf>
    <xf numFmtId="0" fontId="34" fillId="31" borderId="21" xfId="21" applyFont="1" applyFill="1" applyBorder="1" applyAlignment="1">
      <alignment horizontal="center" vertical="center"/>
    </xf>
    <xf numFmtId="0" fontId="34" fillId="31" borderId="56" xfId="21" applyFont="1" applyFill="1" applyBorder="1" applyAlignment="1">
      <alignment horizontal="center" vertical="center"/>
    </xf>
    <xf numFmtId="0" fontId="34" fillId="31" borderId="83" xfId="21" applyFont="1" applyFill="1" applyBorder="1" applyAlignment="1">
      <alignment vertical="center"/>
    </xf>
    <xf numFmtId="20" fontId="34" fillId="31" borderId="15" xfId="21" applyNumberFormat="1" applyFont="1" applyFill="1" applyBorder="1" applyAlignment="1">
      <alignment horizontal="center" vertical="center"/>
    </xf>
    <xf numFmtId="0" fontId="34" fillId="31" borderId="34" xfId="21" applyFont="1" applyFill="1" applyBorder="1" applyAlignment="1">
      <alignment vertical="center"/>
    </xf>
    <xf numFmtId="20" fontId="34" fillId="31" borderId="82" xfId="21" applyNumberFormat="1" applyFont="1" applyFill="1" applyBorder="1" applyAlignment="1">
      <alignment horizontal="center" vertical="center"/>
    </xf>
    <xf numFmtId="0" fontId="34" fillId="31" borderId="13" xfId="21" applyFont="1" applyFill="1" applyBorder="1" applyAlignment="1">
      <alignment horizontal="center" vertical="center"/>
    </xf>
    <xf numFmtId="0" fontId="34" fillId="31" borderId="12" xfId="21" applyFont="1" applyFill="1" applyBorder="1" applyAlignment="1">
      <alignment horizontal="center" vertical="center"/>
    </xf>
    <xf numFmtId="0" fontId="34" fillId="17" borderId="15" xfId="52" applyFont="1" applyFill="1" applyBorder="1" applyAlignment="1">
      <alignment horizontal="center"/>
    </xf>
    <xf numFmtId="0" fontId="34" fillId="17" borderId="17" xfId="52" applyFont="1" applyFill="1" applyBorder="1" applyAlignment="1">
      <alignment horizontal="center"/>
    </xf>
    <xf numFmtId="0" fontId="34" fillId="17" borderId="15" xfId="50" applyFont="1" applyFill="1" applyBorder="1" applyAlignment="1">
      <alignment horizontal="center"/>
    </xf>
    <xf numFmtId="0" fontId="34" fillId="17" borderId="17" xfId="50" applyFont="1" applyFill="1" applyBorder="1" applyAlignment="1">
      <alignment horizontal="center"/>
    </xf>
    <xf numFmtId="0" fontId="34" fillId="0" borderId="15" xfId="52" applyFont="1" applyBorder="1" applyAlignment="1">
      <alignment horizontal="center"/>
    </xf>
    <xf numFmtId="0" fontId="34" fillId="0" borderId="104" xfId="52" applyFont="1" applyBorder="1" applyAlignment="1">
      <alignment horizontal="center"/>
    </xf>
    <xf numFmtId="0" fontId="34" fillId="0" borderId="17" xfId="52" applyFont="1" applyBorder="1" applyAlignment="1">
      <alignment horizontal="center"/>
    </xf>
    <xf numFmtId="0" fontId="34" fillId="0" borderId="15" xfId="50" applyFont="1" applyBorder="1" applyAlignment="1">
      <alignment horizontal="center"/>
    </xf>
    <xf numFmtId="0" fontId="34" fillId="0" borderId="104" xfId="50" applyFont="1" applyBorder="1" applyAlignment="1">
      <alignment horizontal="center"/>
    </xf>
    <xf numFmtId="0" fontId="34" fillId="0" borderId="17" xfId="50" applyFont="1" applyBorder="1" applyAlignment="1">
      <alignment horizontal="center"/>
    </xf>
    <xf numFmtId="0" fontId="34" fillId="0" borderId="82" xfId="50" applyFont="1" applyBorder="1" applyAlignment="1">
      <alignment horizontal="center"/>
    </xf>
    <xf numFmtId="0" fontId="34" fillId="0" borderId="105" xfId="50" applyFont="1" applyBorder="1" applyAlignment="1">
      <alignment horizontal="center"/>
    </xf>
    <xf numFmtId="0" fontId="34" fillId="0" borderId="83" xfId="50" applyFont="1" applyBorder="1" applyAlignment="1">
      <alignment horizontal="center"/>
    </xf>
    <xf numFmtId="0" fontId="37" fillId="0" borderId="0" xfId="0" applyFont="1" applyAlignment="1">
      <alignment horizontal="center" vertical="center"/>
    </xf>
    <xf numFmtId="0" fontId="34" fillId="0" borderId="0" xfId="20" applyFont="1" applyAlignment="1">
      <alignment horizontal="center"/>
    </xf>
    <xf numFmtId="0" fontId="34" fillId="0" borderId="10" xfId="50" applyFont="1" applyBorder="1" applyAlignment="1">
      <alignment horizontal="center"/>
    </xf>
    <xf numFmtId="0" fontId="91" fillId="31" borderId="82" xfId="51" applyFont="1" applyFill="1" applyBorder="1" applyAlignment="1">
      <alignment horizontal="center" vertical="center"/>
    </xf>
    <xf numFmtId="0" fontId="91" fillId="31" borderId="105" xfId="51" applyFont="1" applyFill="1" applyBorder="1" applyAlignment="1">
      <alignment horizontal="center" vertical="center"/>
    </xf>
    <xf numFmtId="0" fontId="91" fillId="31" borderId="83" xfId="51" applyFont="1" applyFill="1" applyBorder="1" applyAlignment="1">
      <alignment horizontal="center" vertical="center"/>
    </xf>
    <xf numFmtId="0" fontId="91" fillId="29" borderId="82" xfId="51" applyFont="1" applyFill="1" applyBorder="1" applyAlignment="1">
      <alignment horizontal="center" vertical="center"/>
    </xf>
    <xf numFmtId="0" fontId="91" fillId="29" borderId="105" xfId="51" applyFont="1" applyFill="1" applyBorder="1" applyAlignment="1">
      <alignment horizontal="center" vertical="center"/>
    </xf>
    <xf numFmtId="0" fontId="91" fillId="29" borderId="83" xfId="51" applyFont="1" applyFill="1" applyBorder="1" applyAlignment="1">
      <alignment horizontal="center" vertical="center"/>
    </xf>
    <xf numFmtId="0" fontId="34" fillId="31" borderId="15" xfId="21" applyFont="1" applyFill="1" applyBorder="1" applyAlignment="1">
      <alignment horizontal="center" vertical="center"/>
    </xf>
    <xf numFmtId="0" fontId="34" fillId="31" borderId="21" xfId="21" applyFont="1" applyFill="1" applyBorder="1" applyAlignment="1">
      <alignment horizontal="center" vertical="center"/>
    </xf>
    <xf numFmtId="0" fontId="34" fillId="31" borderId="0" xfId="21" applyFont="1" applyFill="1" applyAlignment="1">
      <alignment horizontal="center" vertical="center"/>
    </xf>
    <xf numFmtId="0" fontId="34" fillId="31" borderId="28" xfId="21" applyFont="1" applyFill="1" applyBorder="1" applyAlignment="1">
      <alignment horizontal="center" vertical="center"/>
    </xf>
    <xf numFmtId="0" fontId="34" fillId="31" borderId="18" xfId="21" applyFont="1" applyFill="1" applyBorder="1" applyAlignment="1">
      <alignment horizontal="center" vertical="center"/>
    </xf>
    <xf numFmtId="0" fontId="91" fillId="26" borderId="82" xfId="51" applyFont="1" applyFill="1" applyBorder="1" applyAlignment="1">
      <alignment horizontal="center" vertical="center"/>
    </xf>
    <xf numFmtId="0" fontId="91" fillId="26" borderId="105" xfId="51" applyFont="1" applyFill="1" applyBorder="1" applyAlignment="1">
      <alignment horizontal="center" vertical="center"/>
    </xf>
    <xf numFmtId="0" fontId="91" fillId="26" borderId="83" xfId="51" applyFont="1" applyFill="1" applyBorder="1" applyAlignment="1">
      <alignment horizontal="center" vertical="center"/>
    </xf>
    <xf numFmtId="0" fontId="34" fillId="29" borderId="15" xfId="21" applyFont="1" applyFill="1" applyBorder="1" applyAlignment="1">
      <alignment horizontal="center" vertical="center"/>
    </xf>
    <xf numFmtId="0" fontId="34" fillId="29" borderId="104" xfId="21" applyFont="1" applyFill="1" applyBorder="1" applyAlignment="1">
      <alignment horizontal="center" vertical="center"/>
    </xf>
    <xf numFmtId="0" fontId="34" fillId="29" borderId="17" xfId="21" applyFont="1" applyFill="1" applyBorder="1" applyAlignment="1">
      <alignment horizontal="center" vertical="center"/>
    </xf>
    <xf numFmtId="0" fontId="34" fillId="29" borderId="21" xfId="21" applyFont="1" applyFill="1" applyBorder="1" applyAlignment="1">
      <alignment horizontal="center" vertical="center"/>
    </xf>
    <xf numFmtId="0" fontId="34" fillId="29" borderId="34" xfId="0" applyFont="1" applyFill="1" applyBorder="1" applyAlignment="1">
      <alignment horizontal="center" vertical="center"/>
    </xf>
    <xf numFmtId="0" fontId="34" fillId="29" borderId="29" xfId="0" applyFont="1" applyFill="1" applyBorder="1" applyAlignment="1">
      <alignment horizontal="center" vertical="center"/>
    </xf>
    <xf numFmtId="0" fontId="34" fillId="29" borderId="27" xfId="0" applyFont="1" applyFill="1" applyBorder="1" applyAlignment="1">
      <alignment horizontal="center" vertical="center"/>
    </xf>
    <xf numFmtId="0" fontId="34" fillId="29" borderId="0" xfId="21" applyFont="1" applyFill="1" applyAlignment="1">
      <alignment horizontal="center" vertical="center"/>
    </xf>
    <xf numFmtId="0" fontId="83" fillId="26" borderId="0" xfId="21" applyFont="1" applyFill="1" applyAlignment="1">
      <alignment horizontal="center" vertical="center"/>
    </xf>
    <xf numFmtId="0" fontId="84" fillId="26" borderId="0" xfId="21" applyFont="1" applyFill="1" applyAlignment="1">
      <alignment horizontal="center" vertical="center"/>
    </xf>
    <xf numFmtId="0" fontId="88" fillId="30" borderId="106" xfId="21" applyFont="1" applyFill="1" applyBorder="1" applyAlignment="1">
      <alignment horizontal="center" vertical="center"/>
    </xf>
    <xf numFmtId="0" fontId="88" fillId="30" borderId="61" xfId="21" applyFont="1" applyFill="1" applyBorder="1" applyAlignment="1">
      <alignment horizontal="center" vertical="center"/>
    </xf>
    <xf numFmtId="0" fontId="88" fillId="30" borderId="58" xfId="21" applyFont="1" applyFill="1" applyBorder="1" applyAlignment="1">
      <alignment horizontal="center" vertical="center"/>
    </xf>
    <xf numFmtId="0" fontId="88" fillId="30" borderId="43" xfId="21" applyFont="1" applyFill="1" applyBorder="1" applyAlignment="1">
      <alignment horizontal="center" vertical="center"/>
    </xf>
    <xf numFmtId="0" fontId="88" fillId="30" borderId="0" xfId="21" applyFont="1" applyFill="1" applyBorder="1" applyAlignment="1">
      <alignment horizontal="center" vertical="center"/>
    </xf>
    <xf numFmtId="0" fontId="88" fillId="30" borderId="53" xfId="21" applyFont="1" applyFill="1" applyBorder="1" applyAlignment="1">
      <alignment horizontal="center" vertical="center"/>
    </xf>
    <xf numFmtId="0" fontId="88" fillId="30" borderId="88" xfId="21" applyFont="1" applyFill="1" applyBorder="1" applyAlignment="1">
      <alignment horizontal="center" vertical="center"/>
    </xf>
    <xf numFmtId="0" fontId="88" fillId="30" borderId="49" xfId="21" applyFont="1" applyFill="1" applyBorder="1" applyAlignment="1">
      <alignment horizontal="center" vertical="center"/>
    </xf>
    <xf numFmtId="0" fontId="88" fillId="30" borderId="90" xfId="21" applyFont="1" applyFill="1" applyBorder="1" applyAlignment="1">
      <alignment horizontal="center" vertical="center"/>
    </xf>
    <xf numFmtId="0" fontId="91" fillId="0" borderId="82" xfId="51" applyFont="1" applyFill="1" applyBorder="1" applyAlignment="1">
      <alignment horizontal="center" vertical="center"/>
    </xf>
    <xf numFmtId="0" fontId="91" fillId="0" borderId="105" xfId="51" applyFont="1" applyFill="1" applyBorder="1" applyAlignment="1">
      <alignment horizontal="center" vertical="center"/>
    </xf>
    <xf numFmtId="0" fontId="91" fillId="0" borderId="83" xfId="51" applyFont="1" applyFill="1" applyBorder="1" applyAlignment="1">
      <alignment horizontal="center" vertical="center"/>
    </xf>
    <xf numFmtId="0" fontId="34" fillId="0" borderId="22" xfId="21" applyFont="1" applyFill="1" applyBorder="1" applyAlignment="1">
      <alignment horizontal="center" vertical="center"/>
    </xf>
    <xf numFmtId="0" fontId="34" fillId="0" borderId="0" xfId="21" applyFont="1" applyFill="1" applyAlignment="1">
      <alignment horizontal="center" vertical="center"/>
    </xf>
    <xf numFmtId="0" fontId="34" fillId="0" borderId="32" xfId="21" applyFont="1" applyFill="1" applyBorder="1" applyAlignment="1">
      <alignment horizontal="center" vertical="center"/>
    </xf>
    <xf numFmtId="0" fontId="91" fillId="0" borderId="82" xfId="51" applyFont="1" applyBorder="1" applyAlignment="1">
      <alignment horizontal="center" vertical="center"/>
    </xf>
    <xf numFmtId="0" fontId="91" fillId="0" borderId="105" xfId="51" applyFont="1" applyBorder="1" applyAlignment="1">
      <alignment horizontal="center" vertical="center"/>
    </xf>
    <xf numFmtId="0" fontId="91" fillId="0" borderId="83" xfId="51" applyFont="1" applyBorder="1" applyAlignment="1">
      <alignment horizontal="center" vertical="center"/>
    </xf>
  </cellXfs>
  <cellStyles count="55">
    <cellStyle name="?" xfId="1" xr:uid="{00000000-0005-0000-0000-000000000000}"/>
    <cellStyle name="? 1" xfId="2" xr:uid="{00000000-0005-0000-0000-000001000000}"/>
    <cellStyle name="??" xfId="3" xr:uid="{00000000-0005-0000-0000-000002000000}"/>
    <cellStyle name="?? 1" xfId="4" xr:uid="{00000000-0005-0000-0000-000003000000}"/>
    <cellStyle name="?? 1 1" xfId="5" xr:uid="{00000000-0005-0000-0000-000004000000}"/>
    <cellStyle name="?? 2" xfId="6" xr:uid="{00000000-0005-0000-0000-000005000000}"/>
    <cellStyle name="?? 2 1" xfId="7" xr:uid="{00000000-0005-0000-0000-000006000000}"/>
    <cellStyle name="?? 3" xfId="8" xr:uid="{00000000-0005-0000-0000-000007000000}"/>
    <cellStyle name="?? 3 1" xfId="9" xr:uid="{00000000-0005-0000-0000-000008000000}"/>
    <cellStyle name="?? 4" xfId="10" xr:uid="{00000000-0005-0000-0000-000009000000}"/>
    <cellStyle name="?? 5" xfId="11" xr:uid="{00000000-0005-0000-0000-00000A000000}"/>
    <cellStyle name="?? 6" xfId="12" xr:uid="{00000000-0005-0000-0000-00000B000000}"/>
    <cellStyle name="?? 7" xfId="13" xr:uid="{00000000-0005-0000-0000-00000C000000}"/>
    <cellStyle name="?? 8" xfId="14" xr:uid="{00000000-0005-0000-0000-00000D000000}"/>
    <cellStyle name="????" xfId="15" xr:uid="{00000000-0005-0000-0000-00000E000000}"/>
    <cellStyle name="???? 1" xfId="16" xr:uid="{00000000-0005-0000-0000-00000F000000}"/>
    <cellStyle name="???? 2" xfId="17" xr:uid="{00000000-0005-0000-0000-000010000000}"/>
    <cellStyle name="?????" xfId="18" xr:uid="{00000000-0005-0000-0000-000011000000}"/>
    <cellStyle name="??????" xfId="19" xr:uid="{00000000-0005-0000-0000-000012000000}"/>
    <cellStyle name="??_LCSDCup_Information" xfId="20" xr:uid="{00000000-0005-0000-0000-000013000000}"/>
    <cellStyle name="??_LCSDCup_Information 2" xfId="21" xr:uid="{00000000-0005-0000-0000-000014000000}"/>
    <cellStyle name="??_LCSDCup_Information_2005LCSD INFORMATION" xfId="22" xr:uid="{00000000-0005-0000-0000-000015000000}"/>
    <cellStyle name="??_LCSDCup_Information_2005LCSD INFORMATION_INFORMATION OF GC2_2013" xfId="23" xr:uid="{00000000-0005-0000-0000-000016000000}"/>
    <cellStyle name="??_LCSDCup_Information_2005LCSD INFORMATION_INFORMATION OF LCSD 2012" xfId="24" xr:uid="{00000000-0005-0000-0000-000017000000}"/>
    <cellStyle name="??_MEN_32_To8" xfId="25" xr:uid="{00000000-0005-0000-0000-000018000000}"/>
    <cellStyle name="??1" xfId="26" xr:uid="{00000000-0005-0000-0000-000019000000}"/>
    <cellStyle name="??2" xfId="27" xr:uid="{00000000-0005-0000-0000-00001A000000}"/>
    <cellStyle name="??3" xfId="28" xr:uid="{00000000-0005-0000-0000-00001B000000}"/>
    <cellStyle name="??4" xfId="29" xr:uid="{00000000-0005-0000-0000-00001C000000}"/>
    <cellStyle name="??5" xfId="30" xr:uid="{00000000-0005-0000-0000-00001D000000}"/>
    <cellStyle name="??6" xfId="31" xr:uid="{00000000-0005-0000-0000-00001E000000}"/>
    <cellStyle name="20% - ??1" xfId="32" xr:uid="{00000000-0005-0000-0000-00001F000000}"/>
    <cellStyle name="20% - ??2" xfId="33" xr:uid="{00000000-0005-0000-0000-000020000000}"/>
    <cellStyle name="20% - ??3" xfId="34" xr:uid="{00000000-0005-0000-0000-000021000000}"/>
    <cellStyle name="20% - ??4" xfId="35" xr:uid="{00000000-0005-0000-0000-000022000000}"/>
    <cellStyle name="20% - ??5" xfId="36" xr:uid="{00000000-0005-0000-0000-000023000000}"/>
    <cellStyle name="20% - ??6" xfId="37" xr:uid="{00000000-0005-0000-0000-000024000000}"/>
    <cellStyle name="40% - ??1" xfId="38" xr:uid="{00000000-0005-0000-0000-000025000000}"/>
    <cellStyle name="40% - ??2" xfId="39" xr:uid="{00000000-0005-0000-0000-000026000000}"/>
    <cellStyle name="40% - ??3" xfId="40" xr:uid="{00000000-0005-0000-0000-000027000000}"/>
    <cellStyle name="40% - ??4" xfId="41" xr:uid="{00000000-0005-0000-0000-000028000000}"/>
    <cellStyle name="40% - ??5" xfId="42" xr:uid="{00000000-0005-0000-0000-000029000000}"/>
    <cellStyle name="40% - ??6" xfId="43" xr:uid="{00000000-0005-0000-0000-00002A000000}"/>
    <cellStyle name="60% - ??1" xfId="44" xr:uid="{00000000-0005-0000-0000-00002B000000}"/>
    <cellStyle name="60% - ??2" xfId="45" xr:uid="{00000000-0005-0000-0000-00002C000000}"/>
    <cellStyle name="60% - ??3" xfId="46" xr:uid="{00000000-0005-0000-0000-00002D000000}"/>
    <cellStyle name="60% - ??4" xfId="47" xr:uid="{00000000-0005-0000-0000-00002E000000}"/>
    <cellStyle name="60% - ??5" xfId="48" xr:uid="{00000000-0005-0000-0000-00002F000000}"/>
    <cellStyle name="60% - ??6" xfId="49" xr:uid="{00000000-0005-0000-0000-000030000000}"/>
    <cellStyle name="一般" xfId="0" builtinId="0"/>
    <cellStyle name="一般_LCSDCup_Information" xfId="50" xr:uid="{00000000-0005-0000-0000-000032000000}"/>
    <cellStyle name="一般_LCSDCup_Information 2" xfId="51" xr:uid="{00000000-0005-0000-0000-000033000000}"/>
    <cellStyle name="一般_LCSDCup_Information_2005LCSD INFORMATION" xfId="52" xr:uid="{00000000-0005-0000-0000-000034000000}"/>
    <cellStyle name="一般_LCSDCup_Information_2005LCSD INFORMATION_INFORMATION OF LCSD 2012" xfId="53" xr:uid="{00000000-0005-0000-0000-000035000000}"/>
    <cellStyle name="一般_MEN_32_To8" xfId="54" xr:uid="{00000000-0005-0000-0000-000036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33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66"/>
      <rgbColor rgb="0000FFFF"/>
      <rgbColor rgb="00800080"/>
      <rgbColor rgb="00800000"/>
      <rgbColor rgb="00008080"/>
      <rgbColor rgb="003333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FF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58"/>
  <sheetViews>
    <sheetView workbookViewId="0">
      <selection activeCell="B1" sqref="B1"/>
    </sheetView>
  </sheetViews>
  <sheetFormatPr defaultColWidth="7.44140625" defaultRowHeight="17.25"/>
  <cols>
    <col min="1" max="1" width="9.21875" style="1" customWidth="1"/>
    <col min="2" max="2" width="93.109375" customWidth="1"/>
  </cols>
  <sheetData>
    <row r="1" spans="1:2" s="4" customFormat="1" ht="33" customHeight="1">
      <c r="A1" s="2" t="s">
        <v>0</v>
      </c>
      <c r="B1" s="3" t="s">
        <v>923</v>
      </c>
    </row>
    <row r="2" spans="1:2" s="4" customFormat="1" ht="27" customHeight="1">
      <c r="A2" s="3"/>
      <c r="B2" s="3" t="s">
        <v>1</v>
      </c>
    </row>
    <row r="3" spans="1:2" s="4" customFormat="1" ht="15.75">
      <c r="A3" s="2"/>
    </row>
    <row r="4" spans="1:2" s="4" customFormat="1" ht="17.25" customHeight="1">
      <c r="A4" s="5" t="s">
        <v>2</v>
      </c>
      <c r="B4" s="6" t="s">
        <v>3</v>
      </c>
    </row>
    <row r="5" spans="1:2" s="4" customFormat="1" ht="17.25" customHeight="1">
      <c r="A5" s="5"/>
      <c r="B5" s="6" t="s">
        <v>4</v>
      </c>
    </row>
    <row r="6" spans="1:2" s="4" customFormat="1" ht="17.25" customHeight="1">
      <c r="A6" s="5" t="s">
        <v>5</v>
      </c>
      <c r="B6" s="6" t="s">
        <v>6</v>
      </c>
    </row>
    <row r="7" spans="1:2" s="4" customFormat="1" ht="17.25" customHeight="1">
      <c r="A7" s="5" t="s">
        <v>7</v>
      </c>
      <c r="B7" s="7" t="s">
        <v>8</v>
      </c>
    </row>
    <row r="8" spans="1:2" s="4" customFormat="1" ht="17.25" customHeight="1">
      <c r="A8" s="8"/>
      <c r="B8" s="6" t="s">
        <v>9</v>
      </c>
    </row>
    <row r="9" spans="1:2" s="4" customFormat="1" ht="17.25" customHeight="1">
      <c r="A9" s="8"/>
      <c r="B9" s="6" t="s">
        <v>10</v>
      </c>
    </row>
    <row r="10" spans="1:2" s="4" customFormat="1" ht="17.25" customHeight="1">
      <c r="A10" s="8"/>
      <c r="B10" s="9" t="s">
        <v>11</v>
      </c>
    </row>
    <row r="11" spans="1:2" s="4" customFormat="1" ht="17.25" customHeight="1">
      <c r="A11" s="8"/>
      <c r="B11" s="9" t="s">
        <v>12</v>
      </c>
    </row>
    <row r="12" spans="1:2" s="4" customFormat="1" ht="17.25" customHeight="1">
      <c r="A12" s="8"/>
      <c r="B12" s="9" t="s">
        <v>13</v>
      </c>
    </row>
    <row r="13" spans="1:2" s="4" customFormat="1" ht="17.25" customHeight="1">
      <c r="A13" s="8"/>
      <c r="B13" s="9" t="s">
        <v>14</v>
      </c>
    </row>
    <row r="14" spans="1:2" s="9" customFormat="1" ht="17.25" customHeight="1">
      <c r="A14" s="8"/>
      <c r="B14" s="9" t="s">
        <v>15</v>
      </c>
    </row>
    <row r="15" spans="1:2" s="4" customFormat="1" ht="15.75">
      <c r="A15" s="8"/>
      <c r="B15" s="10" t="s">
        <v>16</v>
      </c>
    </row>
    <row r="16" spans="1:2" s="4" customFormat="1" ht="17.25" customHeight="1">
      <c r="A16" s="8"/>
      <c r="B16" s="10"/>
    </row>
    <row r="17" spans="1:2" s="4" customFormat="1" ht="15.75">
      <c r="A17" s="5"/>
      <c r="B17" s="10" t="s">
        <v>17</v>
      </c>
    </row>
    <row r="18" spans="1:2" s="4" customFormat="1" ht="15.75" hidden="1">
      <c r="A18" s="2"/>
    </row>
    <row r="19" spans="1:2" s="4" customFormat="1" ht="27" hidden="1">
      <c r="A19" s="2"/>
      <c r="B19" s="11" t="s">
        <v>18</v>
      </c>
    </row>
    <row r="20" spans="1:2" s="4" customFormat="1" ht="15.75" hidden="1">
      <c r="A20" s="2" t="s">
        <v>19</v>
      </c>
      <c r="B20" s="4" t="s">
        <v>20</v>
      </c>
    </row>
    <row r="21" spans="1:2" s="4" customFormat="1" ht="15.75" hidden="1">
      <c r="A21" s="2"/>
      <c r="B21" s="4" t="s">
        <v>21</v>
      </c>
    </row>
    <row r="22" spans="1:2" s="4" customFormat="1" ht="15.75" hidden="1">
      <c r="A22" s="2" t="s">
        <v>22</v>
      </c>
      <c r="B22" s="4" t="s">
        <v>23</v>
      </c>
    </row>
    <row r="23" spans="1:2" s="4" customFormat="1" ht="15.75" hidden="1">
      <c r="A23" s="2" t="s">
        <v>24</v>
      </c>
      <c r="B23" s="4" t="s">
        <v>25</v>
      </c>
    </row>
    <row r="24" spans="1:2" s="4" customFormat="1" ht="15.75" hidden="1">
      <c r="A24" s="2"/>
      <c r="B24" s="4" t="s">
        <v>26</v>
      </c>
    </row>
    <row r="25" spans="1:2" s="4" customFormat="1" ht="15.75" hidden="1">
      <c r="A25" s="2"/>
      <c r="B25" s="4" t="s">
        <v>27</v>
      </c>
    </row>
    <row r="26" spans="1:2" s="4" customFormat="1" ht="15.75" hidden="1">
      <c r="A26" s="2"/>
      <c r="B26" s="12" t="s">
        <v>28</v>
      </c>
    </row>
    <row r="27" spans="1:2" s="4" customFormat="1" ht="15.75" hidden="1">
      <c r="A27" s="2"/>
      <c r="B27" s="4" t="s">
        <v>29</v>
      </c>
    </row>
    <row r="28" spans="1:2" s="4" customFormat="1" ht="15.75" hidden="1">
      <c r="A28" s="2"/>
      <c r="B28" s="4" t="s">
        <v>30</v>
      </c>
    </row>
    <row r="29" spans="1:2" s="4" customFormat="1" ht="15.75" hidden="1">
      <c r="A29" s="2"/>
      <c r="B29" s="4" t="s">
        <v>31</v>
      </c>
    </row>
    <row r="30" spans="1:2" s="4" customFormat="1" ht="15.75" hidden="1">
      <c r="A30" s="2"/>
      <c r="B30" s="4" t="s">
        <v>32</v>
      </c>
    </row>
    <row r="31" spans="1:2" s="4" customFormat="1" ht="15.75" hidden="1">
      <c r="A31" s="2"/>
      <c r="B31" s="13" t="s">
        <v>33</v>
      </c>
    </row>
    <row r="32" spans="1:2" s="4" customFormat="1" ht="15.75" hidden="1">
      <c r="A32" s="2"/>
      <c r="B32" s="4" t="s">
        <v>34</v>
      </c>
    </row>
    <row r="33" spans="1:2" s="4" customFormat="1" ht="15.75" hidden="1">
      <c r="A33" s="2"/>
      <c r="B33" s="4" t="s">
        <v>35</v>
      </c>
    </row>
    <row r="34" spans="1:2" s="4" customFormat="1" ht="15.75" hidden="1">
      <c r="A34" s="2"/>
      <c r="B34" s="4" t="s">
        <v>36</v>
      </c>
    </row>
    <row r="35" spans="1:2" s="4" customFormat="1" ht="15.75" hidden="1">
      <c r="A35" s="2"/>
      <c r="B35" s="14" t="s">
        <v>37</v>
      </c>
    </row>
    <row r="36" spans="1:2" s="4" customFormat="1" ht="15.75" hidden="1">
      <c r="A36" s="2"/>
      <c r="B36" s="12" t="s">
        <v>38</v>
      </c>
    </row>
    <row r="37" spans="1:2" s="4" customFormat="1" ht="15.75">
      <c r="A37" s="2"/>
      <c r="B37" s="4" t="s">
        <v>39</v>
      </c>
    </row>
    <row r="38" spans="1:2" s="4" customFormat="1" ht="27">
      <c r="A38" s="2"/>
      <c r="B38" s="11" t="s">
        <v>18</v>
      </c>
    </row>
    <row r="39" spans="1:2" s="4" customFormat="1" ht="15.75">
      <c r="A39" s="2"/>
      <c r="B39" s="4" t="s">
        <v>20</v>
      </c>
    </row>
    <row r="40" spans="1:2" s="4" customFormat="1" ht="15.75">
      <c r="A40" s="2"/>
      <c r="B40" s="4" t="s">
        <v>21</v>
      </c>
    </row>
    <row r="41" spans="1:2" s="4" customFormat="1" ht="15.75">
      <c r="A41" s="2"/>
      <c r="B41" s="4" t="s">
        <v>23</v>
      </c>
    </row>
    <row r="42" spans="1:2" s="4" customFormat="1" ht="15.75">
      <c r="A42" s="2"/>
      <c r="B42" s="4" t="s">
        <v>25</v>
      </c>
    </row>
    <row r="43" spans="1:2" s="4" customFormat="1" ht="15.75">
      <c r="A43" s="2"/>
      <c r="B43" s="4" t="s">
        <v>26</v>
      </c>
    </row>
    <row r="44" spans="1:2" s="4" customFormat="1" ht="15.75">
      <c r="A44" s="2"/>
      <c r="B44" s="4" t="s">
        <v>27</v>
      </c>
    </row>
    <row r="45" spans="1:2" s="4" customFormat="1" ht="15.75">
      <c r="A45" s="2"/>
      <c r="B45" s="4" t="s">
        <v>40</v>
      </c>
    </row>
    <row r="46" spans="1:2" s="4" customFormat="1" ht="15.75">
      <c r="A46" s="2"/>
      <c r="B46" s="4" t="s">
        <v>29</v>
      </c>
    </row>
    <row r="47" spans="1:2" s="4" customFormat="1" ht="15.75">
      <c r="A47" s="2"/>
      <c r="B47" s="4" t="s">
        <v>41</v>
      </c>
    </row>
    <row r="48" spans="1:2" s="4" customFormat="1" ht="15.75">
      <c r="A48" s="2"/>
      <c r="B48" s="4" t="s">
        <v>42</v>
      </c>
    </row>
    <row r="49" spans="1:2" s="4" customFormat="1" ht="15.75">
      <c r="A49" s="2"/>
      <c r="B49" s="4" t="s">
        <v>31</v>
      </c>
    </row>
    <row r="50" spans="1:2" s="4" customFormat="1" ht="15.75">
      <c r="A50" s="2"/>
      <c r="B50" s="4" t="s">
        <v>43</v>
      </c>
    </row>
    <row r="51" spans="1:2" s="4" customFormat="1" ht="15.75">
      <c r="A51" s="2"/>
      <c r="B51" s="4" t="s">
        <v>33</v>
      </c>
    </row>
    <row r="52" spans="1:2" s="4" customFormat="1" ht="15.75">
      <c r="A52" s="2"/>
      <c r="B52" s="4" t="s">
        <v>34</v>
      </c>
    </row>
    <row r="53" spans="1:2" s="4" customFormat="1" ht="15.75">
      <c r="A53" s="2"/>
      <c r="B53" s="4" t="s">
        <v>35</v>
      </c>
    </row>
    <row r="54" spans="1:2" s="4" customFormat="1" ht="15.75">
      <c r="A54" s="2"/>
      <c r="B54" s="4" t="s">
        <v>36</v>
      </c>
    </row>
    <row r="55" spans="1:2" s="4" customFormat="1" ht="15.75">
      <c r="A55" s="2"/>
      <c r="B55" s="4" t="s">
        <v>37</v>
      </c>
    </row>
    <row r="56" spans="1:2" s="4" customFormat="1" ht="15.75">
      <c r="A56" s="2"/>
      <c r="B56" s="4" t="s">
        <v>38</v>
      </c>
    </row>
    <row r="57" spans="1:2" s="4" customFormat="1" ht="15.75">
      <c r="A57" s="2"/>
      <c r="B57" s="4" t="s">
        <v>39</v>
      </c>
    </row>
    <row r="58" spans="1:2" s="4" customFormat="1" ht="15.75">
      <c r="A58" s="2"/>
    </row>
  </sheetData>
  <sheetProtection selectLockedCells="1" selectUnlockedCells="1"/>
  <phoneticPr fontId="49" type="noConversion"/>
  <pageMargins left="0.74791666666666667" right="0.74791666666666667" top="0.98402777777777772" bottom="0.98402777777777772" header="0.51180555555555551" footer="0.51180555555555551"/>
  <pageSetup paperSize="9" scale="69" firstPageNumber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S124"/>
  <sheetViews>
    <sheetView topLeftCell="A32" zoomScale="60" zoomScaleNormal="60" workbookViewId="0">
      <selection activeCell="H66" sqref="H66"/>
    </sheetView>
  </sheetViews>
  <sheetFormatPr defaultColWidth="7.6640625" defaultRowHeight="15.75"/>
  <cols>
    <col min="1" max="1" width="3.33203125" style="43" customWidth="1"/>
    <col min="2" max="2" width="19.109375" style="43" customWidth="1"/>
    <col min="3" max="5" width="10.6640625" style="43" customWidth="1"/>
    <col min="6" max="6" width="11" style="43" customWidth="1"/>
    <col min="7" max="7" width="10.6640625" style="43" customWidth="1"/>
    <col min="8" max="8" width="11" style="43" customWidth="1"/>
    <col min="9" max="9" width="12.6640625" style="43" customWidth="1"/>
    <col min="10" max="10" width="10.6640625" style="43" customWidth="1"/>
    <col min="11" max="11" width="14" style="43" bestFit="1" customWidth="1"/>
    <col min="12" max="16384" width="7.6640625" style="43"/>
  </cols>
  <sheetData>
    <row r="1" spans="2:10" ht="18.75">
      <c r="B1" s="292" t="s">
        <v>334</v>
      </c>
      <c r="C1" s="180"/>
      <c r="D1" s="180"/>
      <c r="E1" s="181"/>
      <c r="F1" s="181"/>
      <c r="G1" s="181"/>
    </row>
    <row r="2" spans="2:10">
      <c r="B2" s="179"/>
      <c r="C2" s="180"/>
      <c r="D2" s="180"/>
      <c r="E2" s="181"/>
      <c r="F2" s="181"/>
      <c r="G2" s="181"/>
    </row>
    <row r="3" spans="2:10">
      <c r="B3" s="179" t="s">
        <v>321</v>
      </c>
      <c r="C3" s="180"/>
      <c r="D3" s="180"/>
      <c r="E3" s="181"/>
      <c r="F3" s="181"/>
      <c r="G3" s="181"/>
    </row>
    <row r="4" spans="2:10">
      <c r="B4" s="181"/>
      <c r="C4" s="181"/>
      <c r="D4" s="179" t="s">
        <v>335</v>
      </c>
      <c r="E4" s="179"/>
      <c r="F4" s="180"/>
      <c r="G4" s="181"/>
    </row>
    <row r="5" spans="2:10">
      <c r="B5" s="181"/>
      <c r="C5" s="181"/>
      <c r="D5" s="247" t="s">
        <v>355</v>
      </c>
      <c r="E5" s="247"/>
      <c r="F5" s="248"/>
      <c r="G5" s="250"/>
      <c r="H5" s="251"/>
      <c r="I5" s="251"/>
    </row>
    <row r="6" spans="2:10">
      <c r="B6" s="254"/>
      <c r="C6" s="254"/>
      <c r="D6" s="293"/>
      <c r="E6" s="251"/>
      <c r="F6" s="251"/>
      <c r="G6" s="251"/>
      <c r="H6" s="251"/>
    </row>
    <row r="7" spans="2:10">
      <c r="C7" s="95" t="s">
        <v>166</v>
      </c>
      <c r="D7" s="95" t="s">
        <v>172</v>
      </c>
      <c r="E7" s="95" t="s">
        <v>173</v>
      </c>
      <c r="F7" s="105" t="s">
        <v>174</v>
      </c>
      <c r="G7" s="106" t="s">
        <v>168</v>
      </c>
      <c r="H7" s="106" t="s">
        <v>634</v>
      </c>
      <c r="I7" s="252"/>
    </row>
    <row r="8" spans="2:10" ht="18" customHeight="1">
      <c r="C8" s="391" t="s">
        <v>175</v>
      </c>
      <c r="D8" s="391" t="s">
        <v>176</v>
      </c>
      <c r="E8" s="391" t="s">
        <v>177</v>
      </c>
      <c r="F8" s="391" t="s">
        <v>178</v>
      </c>
      <c r="G8" s="392" t="s">
        <v>179</v>
      </c>
      <c r="H8" s="392" t="s">
        <v>180</v>
      </c>
      <c r="I8" s="253"/>
    </row>
    <row r="9" spans="2:10">
      <c r="C9" s="391" t="s">
        <v>187</v>
      </c>
      <c r="D9" s="391" t="s">
        <v>188</v>
      </c>
      <c r="E9" s="391" t="s">
        <v>189</v>
      </c>
      <c r="F9" s="391" t="s">
        <v>190</v>
      </c>
      <c r="G9" s="391" t="s">
        <v>182</v>
      </c>
      <c r="H9" s="391" t="s">
        <v>181</v>
      </c>
      <c r="I9" s="253"/>
    </row>
    <row r="10" spans="2:10">
      <c r="C10" s="432" t="s">
        <v>186</v>
      </c>
      <c r="D10" s="391" t="s">
        <v>185</v>
      </c>
      <c r="E10" s="391" t="s">
        <v>184</v>
      </c>
      <c r="F10" s="391" t="s">
        <v>183</v>
      </c>
      <c r="G10" s="391" t="s">
        <v>191</v>
      </c>
      <c r="H10" s="391" t="s">
        <v>192</v>
      </c>
      <c r="I10" s="253"/>
    </row>
    <row r="11" spans="2:10">
      <c r="C11" s="431"/>
      <c r="H11" s="391" t="s">
        <v>193</v>
      </c>
      <c r="I11" s="253"/>
    </row>
    <row r="12" spans="2:10">
      <c r="B12" s="184"/>
    </row>
    <row r="13" spans="2:10">
      <c r="B13" s="184"/>
    </row>
    <row r="14" spans="2:10" s="181" customFormat="1">
      <c r="B14" s="179"/>
      <c r="C14" s="247" t="s">
        <v>336</v>
      </c>
      <c r="E14" s="247"/>
      <c r="F14" s="247"/>
      <c r="G14" s="247"/>
      <c r="H14" s="179"/>
      <c r="I14" s="179"/>
      <c r="J14" s="179"/>
    </row>
    <row r="15" spans="2:10" s="181" customFormat="1">
      <c r="B15" s="247"/>
      <c r="C15" s="247" t="s">
        <v>696</v>
      </c>
      <c r="D15" s="247"/>
      <c r="E15" s="247"/>
      <c r="F15" s="247"/>
      <c r="G15" s="247"/>
      <c r="H15" s="179"/>
      <c r="I15" s="179"/>
      <c r="J15" s="179"/>
    </row>
    <row r="16" spans="2:10" s="181" customFormat="1">
      <c r="B16" s="247"/>
      <c r="C16" s="247" t="s">
        <v>829</v>
      </c>
      <c r="E16" s="247"/>
      <c r="F16" s="247"/>
      <c r="G16" s="247"/>
      <c r="H16" s="179"/>
      <c r="I16" s="179"/>
      <c r="J16" s="179"/>
    </row>
    <row r="17" spans="2:19" s="181" customFormat="1">
      <c r="B17" s="179"/>
    </row>
    <row r="18" spans="2:19" s="181" customFormat="1">
      <c r="B18" s="179" t="s">
        <v>834</v>
      </c>
      <c r="D18" s="246"/>
    </row>
    <row r="19" spans="2:19" ht="18" customHeight="1">
      <c r="C19" s="57"/>
      <c r="D19" s="44"/>
      <c r="E19" s="43" t="s">
        <v>61</v>
      </c>
    </row>
    <row r="20" spans="2:19" ht="18" customHeight="1">
      <c r="B20" s="92"/>
      <c r="C20" s="92"/>
      <c r="D20" s="92"/>
      <c r="E20" s="131" t="str">
        <f>女乙賽程!R8</f>
        <v>荃青—黑寶</v>
      </c>
      <c r="F20" s="294"/>
      <c r="G20" s="259"/>
      <c r="H20" s="99"/>
      <c r="I20" s="99"/>
      <c r="J20" s="99"/>
      <c r="K20" s="99"/>
      <c r="N20" s="44"/>
    </row>
    <row r="21" spans="2:19" ht="18" customHeight="1">
      <c r="B21" s="92"/>
      <c r="C21" s="92"/>
      <c r="D21" s="92"/>
      <c r="E21" s="92"/>
      <c r="F21" s="295" t="s">
        <v>270</v>
      </c>
      <c r="G21" s="296"/>
      <c r="H21" s="65"/>
      <c r="I21" s="99"/>
      <c r="J21" s="99"/>
      <c r="K21" s="99"/>
      <c r="N21" s="44"/>
    </row>
    <row r="22" spans="2:19" ht="18" customHeight="1">
      <c r="B22" s="92"/>
      <c r="C22" s="393"/>
      <c r="D22" s="394"/>
      <c r="E22" s="92"/>
      <c r="F22" s="597" t="s">
        <v>1019</v>
      </c>
      <c r="G22" s="297"/>
      <c r="H22" s="65"/>
      <c r="I22" s="99"/>
      <c r="J22" s="99"/>
      <c r="K22" s="99"/>
      <c r="L22" s="99"/>
      <c r="M22" s="257"/>
      <c r="N22" s="298"/>
    </row>
    <row r="23" spans="2:19" ht="18" customHeight="1">
      <c r="B23" s="92"/>
      <c r="C23" s="92" t="s">
        <v>284</v>
      </c>
      <c r="D23" s="92"/>
      <c r="E23" s="92"/>
      <c r="F23" s="300"/>
      <c r="G23" s="301"/>
      <c r="H23" s="352" t="s">
        <v>1018</v>
      </c>
      <c r="I23" s="99"/>
      <c r="J23" s="99"/>
      <c r="K23" s="99"/>
      <c r="L23" s="99"/>
      <c r="M23" s="287"/>
      <c r="N23" s="44"/>
      <c r="O23" s="259"/>
      <c r="P23" s="99"/>
      <c r="Q23" s="99"/>
      <c r="R23" s="99"/>
      <c r="S23" s="99"/>
    </row>
    <row r="24" spans="2:19" ht="18" customHeight="1">
      <c r="B24" s="92"/>
      <c r="C24" s="131" t="str">
        <f>C73</f>
        <v>GLORY</v>
      </c>
      <c r="D24" s="299" t="s">
        <v>306</v>
      </c>
      <c r="E24" s="92"/>
      <c r="F24" s="315"/>
      <c r="G24" s="259"/>
      <c r="H24" s="303"/>
      <c r="I24" s="304"/>
      <c r="J24" s="99"/>
      <c r="K24" s="99"/>
      <c r="L24" s="99"/>
      <c r="N24" s="258"/>
      <c r="O24" s="259"/>
      <c r="P24" s="65"/>
      <c r="Q24" s="99"/>
      <c r="R24" s="99"/>
      <c r="S24" s="99"/>
    </row>
    <row r="25" spans="2:19" ht="18" customHeight="1">
      <c r="B25" s="92"/>
      <c r="C25" s="92"/>
      <c r="D25" s="302" t="s">
        <v>271</v>
      </c>
      <c r="E25" s="305"/>
      <c r="F25" s="356" t="str">
        <f>C24</f>
        <v>GLORY</v>
      </c>
      <c r="G25" s="268"/>
      <c r="H25" s="303"/>
      <c r="I25" s="304"/>
      <c r="J25" s="99"/>
      <c r="K25" s="99"/>
      <c r="L25" s="99"/>
      <c r="N25" s="257"/>
      <c r="O25" s="260"/>
      <c r="P25" s="306"/>
      <c r="Q25" s="99"/>
      <c r="R25" s="99"/>
      <c r="S25" s="99"/>
    </row>
    <row r="26" spans="2:19" ht="18" customHeight="1">
      <c r="B26" s="92"/>
      <c r="D26" s="516"/>
      <c r="E26" s="316"/>
      <c r="F26" s="285"/>
      <c r="G26" s="259"/>
      <c r="H26" s="303"/>
      <c r="I26" s="304"/>
      <c r="J26" s="99"/>
      <c r="K26" s="99"/>
      <c r="L26" s="99"/>
      <c r="N26" s="190"/>
      <c r="O26" s="261"/>
      <c r="P26" s="306"/>
      <c r="Q26" s="99"/>
      <c r="R26" s="99"/>
      <c r="S26" s="99"/>
    </row>
    <row r="27" spans="2:19" ht="18" customHeight="1">
      <c r="B27" s="92"/>
      <c r="C27" s="92" t="s">
        <v>284</v>
      </c>
      <c r="D27" s="517"/>
      <c r="E27" s="92"/>
      <c r="F27" s="307"/>
      <c r="G27" s="307"/>
      <c r="H27" s="295" t="s">
        <v>644</v>
      </c>
      <c r="I27" s="307"/>
      <c r="J27" s="99"/>
      <c r="K27" s="99"/>
      <c r="L27" s="99"/>
      <c r="M27" s="257"/>
      <c r="N27" s="65"/>
      <c r="O27" s="262"/>
      <c r="P27" s="306"/>
      <c r="Q27" s="99"/>
      <c r="R27" s="99"/>
      <c r="S27" s="99"/>
    </row>
    <row r="28" spans="2:19" ht="18" customHeight="1">
      <c r="B28" s="92"/>
      <c r="C28" s="131" t="str">
        <f>C71</f>
        <v>BYE</v>
      </c>
      <c r="D28" s="316" t="s">
        <v>305</v>
      </c>
      <c r="E28" s="92"/>
      <c r="F28" s="259"/>
      <c r="G28" s="307"/>
      <c r="H28" s="295"/>
      <c r="I28" s="307"/>
      <c r="J28" s="99"/>
      <c r="K28" s="99"/>
      <c r="L28" s="99"/>
      <c r="M28" s="287"/>
      <c r="N28" s="258"/>
      <c r="O28" s="261"/>
      <c r="P28" s="306"/>
      <c r="Q28" s="99"/>
      <c r="R28" s="99"/>
      <c r="S28" s="99"/>
    </row>
    <row r="29" spans="2:19" ht="18" customHeight="1">
      <c r="B29" s="92"/>
      <c r="C29" s="92"/>
      <c r="D29" s="92"/>
      <c r="E29" s="92"/>
      <c r="F29" s="259"/>
      <c r="G29" s="307"/>
      <c r="H29" s="300"/>
      <c r="I29" s="307"/>
      <c r="J29" s="99"/>
      <c r="K29" s="99"/>
      <c r="L29" s="99"/>
      <c r="N29" s="258"/>
      <c r="O29" s="263"/>
      <c r="P29" s="263"/>
      <c r="Q29" s="263"/>
      <c r="R29" s="99"/>
      <c r="S29" s="99"/>
    </row>
    <row r="30" spans="2:19" ht="18" customHeight="1">
      <c r="B30" s="92"/>
      <c r="C30" s="92"/>
      <c r="D30" s="92"/>
      <c r="E30" s="92"/>
      <c r="F30" s="259"/>
      <c r="G30" s="259"/>
      <c r="H30" s="308"/>
      <c r="L30" s="99"/>
      <c r="N30" s="258"/>
      <c r="O30" s="263"/>
      <c r="P30" s="263"/>
      <c r="Q30" s="263"/>
      <c r="R30" s="99"/>
      <c r="S30" s="99"/>
    </row>
    <row r="31" spans="2:19" ht="18" customHeight="1">
      <c r="B31" s="92"/>
      <c r="C31" s="92"/>
      <c r="D31" s="92"/>
      <c r="E31" s="92" t="s">
        <v>640</v>
      </c>
      <c r="F31" s="65"/>
      <c r="G31" s="99"/>
      <c r="H31" s="303"/>
      <c r="L31" s="99"/>
      <c r="N31" s="258"/>
      <c r="O31" s="261"/>
      <c r="P31" s="190"/>
    </row>
    <row r="32" spans="2:19" ht="18" customHeight="1">
      <c r="B32" s="92"/>
      <c r="C32" s="92"/>
      <c r="D32" s="92"/>
      <c r="E32" s="131" t="str">
        <f>女乙賽程!R20</f>
        <v>The Passionate Miami</v>
      </c>
      <c r="F32" s="309"/>
      <c r="G32" s="259"/>
      <c r="H32" s="303"/>
      <c r="M32" s="257"/>
      <c r="N32" s="65"/>
      <c r="O32" s="260"/>
      <c r="P32" s="306"/>
    </row>
    <row r="33" spans="2:19" ht="18" customHeight="1">
      <c r="B33" s="92"/>
      <c r="C33" s="92"/>
      <c r="D33" s="92"/>
      <c r="E33" s="92"/>
      <c r="F33" s="310"/>
      <c r="G33" s="259"/>
      <c r="H33" s="303"/>
      <c r="I33" s="311"/>
      <c r="J33" s="352" t="str">
        <f>H34</f>
        <v>The Passionate Miami</v>
      </c>
      <c r="K33" s="99"/>
      <c r="M33" s="257"/>
      <c r="N33" s="44"/>
      <c r="O33" s="259"/>
      <c r="P33" s="306"/>
      <c r="R33" s="44"/>
    </row>
    <row r="34" spans="2:19" ht="18" customHeight="1">
      <c r="B34" s="92"/>
      <c r="C34" s="92"/>
      <c r="D34" s="92"/>
      <c r="E34" s="92"/>
      <c r="F34" s="295" t="s">
        <v>272</v>
      </c>
      <c r="G34" s="313"/>
      <c r="H34" s="352" t="str">
        <f>E32</f>
        <v>The Passionate Miami</v>
      </c>
      <c r="I34" s="304"/>
      <c r="J34" s="314"/>
      <c r="K34" s="99"/>
      <c r="N34" s="258"/>
      <c r="O34" s="259"/>
      <c r="P34" s="306"/>
      <c r="Q34" s="306"/>
      <c r="R34" s="99"/>
      <c r="S34" s="99"/>
    </row>
    <row r="35" spans="2:19" ht="18" customHeight="1">
      <c r="B35" s="92"/>
      <c r="C35" s="92" t="s">
        <v>284</v>
      </c>
      <c r="D35" s="92" t="s">
        <v>304</v>
      </c>
      <c r="E35" s="92"/>
      <c r="F35" s="300"/>
      <c r="G35" s="259"/>
      <c r="H35" s="65"/>
      <c r="I35" s="99"/>
      <c r="J35" s="314"/>
      <c r="K35" s="99"/>
      <c r="L35" s="99"/>
      <c r="N35" s="257"/>
      <c r="O35" s="259"/>
      <c r="P35" s="44"/>
      <c r="Q35" s="99"/>
      <c r="R35" s="99"/>
      <c r="S35" s="99"/>
    </row>
    <row r="36" spans="2:19" ht="18" customHeight="1">
      <c r="B36" s="92"/>
      <c r="C36" s="131" t="str">
        <f>C70</f>
        <v>BUTTERFLY S</v>
      </c>
      <c r="D36" s="299"/>
      <c r="E36" s="92"/>
      <c r="F36" s="315"/>
      <c r="G36" s="259"/>
      <c r="H36" s="306"/>
      <c r="I36" s="99"/>
      <c r="J36" s="314"/>
      <c r="K36" s="99"/>
      <c r="L36" s="99"/>
      <c r="N36" s="190"/>
      <c r="O36" s="261"/>
      <c r="P36" s="65"/>
      <c r="Q36" s="99"/>
      <c r="R36" s="99"/>
      <c r="S36" s="99"/>
    </row>
    <row r="37" spans="2:19" ht="18" customHeight="1">
      <c r="B37" s="92"/>
      <c r="C37" s="92"/>
      <c r="D37" s="302" t="s">
        <v>641</v>
      </c>
      <c r="E37" s="305"/>
      <c r="F37" s="356" t="s">
        <v>1018</v>
      </c>
      <c r="G37" s="259"/>
      <c r="H37" s="306"/>
      <c r="I37" s="99"/>
      <c r="J37" s="314"/>
      <c r="K37" s="99"/>
      <c r="L37" s="99"/>
      <c r="N37" s="258"/>
      <c r="O37" s="259"/>
      <c r="P37" s="306"/>
      <c r="Q37" s="99"/>
      <c r="R37" s="99"/>
      <c r="S37" s="99"/>
    </row>
    <row r="38" spans="2:19" ht="18" customHeight="1">
      <c r="B38" s="92"/>
      <c r="D38" s="597" t="s">
        <v>1019</v>
      </c>
      <c r="E38" s="316"/>
      <c r="F38" s="285"/>
      <c r="G38" s="259"/>
      <c r="H38" s="306"/>
      <c r="I38" s="99"/>
      <c r="J38" s="314"/>
      <c r="K38" s="99"/>
      <c r="L38" s="99"/>
      <c r="M38" s="257"/>
      <c r="N38" s="258"/>
      <c r="O38" s="259"/>
      <c r="P38" s="306"/>
      <c r="Q38" s="99"/>
      <c r="R38" s="99"/>
      <c r="S38" s="99"/>
    </row>
    <row r="39" spans="2:19" ht="18" customHeight="1">
      <c r="B39" s="92"/>
      <c r="C39" s="92" t="s">
        <v>284</v>
      </c>
      <c r="D39" s="517"/>
      <c r="E39" s="92"/>
      <c r="F39" s="307"/>
      <c r="G39" s="99"/>
      <c r="H39" s="99"/>
      <c r="J39" s="317"/>
      <c r="K39" s="318" t="s">
        <v>647</v>
      </c>
      <c r="L39" s="643"/>
      <c r="M39" s="287"/>
      <c r="N39" s="298"/>
      <c r="O39" s="259"/>
      <c r="P39" s="306"/>
      <c r="Q39" s="99"/>
      <c r="R39" s="99"/>
      <c r="S39" s="99"/>
    </row>
    <row r="40" spans="2:19" ht="18" customHeight="1">
      <c r="B40" s="92"/>
      <c r="C40" s="131" t="str">
        <f>C74</f>
        <v>麥糖</v>
      </c>
      <c r="D40" s="316" t="s">
        <v>635</v>
      </c>
      <c r="E40" s="92"/>
      <c r="F40" s="259"/>
      <c r="G40" s="268"/>
      <c r="H40" s="99"/>
      <c r="J40" s="310"/>
      <c r="K40" s="97" t="s">
        <v>143</v>
      </c>
      <c r="L40" s="643"/>
      <c r="N40" s="257"/>
      <c r="O40" s="260"/>
      <c r="P40" s="99"/>
      <c r="Q40" s="263"/>
      <c r="R40" s="99"/>
      <c r="S40" s="263"/>
    </row>
    <row r="41" spans="2:19" ht="18" customHeight="1">
      <c r="B41" s="92"/>
      <c r="C41" s="92"/>
      <c r="D41" s="92"/>
      <c r="E41" s="92"/>
      <c r="F41" s="259"/>
      <c r="G41" s="268"/>
      <c r="H41" s="306"/>
      <c r="I41" s="319"/>
      <c r="J41" s="310"/>
      <c r="K41" s="319"/>
      <c r="L41" s="307"/>
      <c r="N41" s="258"/>
      <c r="O41" s="262"/>
      <c r="P41" s="99"/>
      <c r="Q41" s="320"/>
      <c r="R41" s="259"/>
      <c r="S41" s="320"/>
    </row>
    <row r="42" spans="2:19" ht="18" customHeight="1">
      <c r="B42" s="92"/>
      <c r="C42" s="92"/>
      <c r="D42" s="92"/>
      <c r="E42" s="92"/>
      <c r="F42" s="44"/>
      <c r="H42" s="44"/>
      <c r="J42" s="314"/>
      <c r="L42" s="259"/>
      <c r="N42" s="44"/>
      <c r="P42" s="44"/>
      <c r="R42" s="99"/>
    </row>
    <row r="43" spans="2:19" ht="18" customHeight="1">
      <c r="B43" s="92"/>
      <c r="C43" s="92"/>
      <c r="D43" s="92"/>
      <c r="E43" s="92" t="s">
        <v>639</v>
      </c>
      <c r="F43" s="285"/>
      <c r="H43" s="44"/>
      <c r="I43" s="99"/>
      <c r="J43" s="314"/>
      <c r="K43" s="99"/>
      <c r="L43" s="319"/>
      <c r="M43" s="257"/>
      <c r="N43" s="44"/>
      <c r="P43" s="44"/>
      <c r="Q43" s="99"/>
      <c r="R43" s="99"/>
      <c r="S43" s="99"/>
    </row>
    <row r="44" spans="2:19" ht="18" customHeight="1">
      <c r="B44" s="92"/>
      <c r="C44" s="92"/>
      <c r="D44" s="92"/>
      <c r="E44" s="131" t="str">
        <f>女乙賽程!Y8</f>
        <v>SYNERGY</v>
      </c>
      <c r="F44" s="294"/>
      <c r="G44" s="259"/>
      <c r="H44" s="272"/>
      <c r="I44" s="99"/>
      <c r="J44" s="314"/>
      <c r="K44" s="99"/>
      <c r="M44" s="257"/>
      <c r="N44" s="258"/>
      <c r="O44" s="259"/>
      <c r="P44" s="306"/>
      <c r="Q44" s="99"/>
      <c r="R44" s="99"/>
      <c r="S44" s="99"/>
    </row>
    <row r="45" spans="2:19" ht="18" customHeight="1">
      <c r="B45" s="92"/>
      <c r="C45" s="393"/>
      <c r="D45" s="393"/>
      <c r="E45" s="92"/>
      <c r="F45" s="295" t="s">
        <v>273</v>
      </c>
      <c r="G45" s="321"/>
      <c r="I45" s="99"/>
      <c r="J45" s="314"/>
      <c r="K45" s="99"/>
      <c r="L45" s="99"/>
      <c r="N45" s="258"/>
      <c r="O45" s="259"/>
      <c r="P45" s="65"/>
      <c r="Q45" s="99"/>
      <c r="R45" s="99"/>
      <c r="S45" s="99"/>
    </row>
    <row r="46" spans="2:19" ht="18" customHeight="1">
      <c r="B46" s="92"/>
      <c r="C46" s="92" t="s">
        <v>284</v>
      </c>
      <c r="D46" s="92"/>
      <c r="E46" s="92"/>
      <c r="F46" s="300"/>
      <c r="G46" s="99"/>
      <c r="H46" s="352" t="str">
        <f>F48</f>
        <v>Reunion</v>
      </c>
      <c r="I46" s="99"/>
      <c r="J46" s="314"/>
      <c r="K46" s="99"/>
      <c r="L46" s="99"/>
      <c r="N46" s="257"/>
      <c r="O46" s="260"/>
      <c r="P46" s="306"/>
      <c r="Q46" s="99"/>
      <c r="R46" s="99"/>
      <c r="S46" s="99"/>
    </row>
    <row r="47" spans="2:19" ht="18" customHeight="1">
      <c r="B47" s="92"/>
      <c r="C47" s="131" t="str">
        <f>C72</f>
        <v>Reunion</v>
      </c>
      <c r="D47" s="299" t="s">
        <v>289</v>
      </c>
      <c r="E47" s="92"/>
      <c r="F47" s="315"/>
      <c r="G47" s="99"/>
      <c r="H47" s="303"/>
      <c r="I47" s="99"/>
      <c r="J47" s="314"/>
      <c r="K47" s="99"/>
      <c r="L47" s="99"/>
      <c r="N47" s="190"/>
      <c r="O47" s="261"/>
      <c r="P47" s="306"/>
      <c r="Q47" s="99"/>
      <c r="R47" s="99"/>
      <c r="S47" s="99"/>
    </row>
    <row r="48" spans="2:19" ht="18" customHeight="1">
      <c r="B48" s="92"/>
      <c r="C48" s="92"/>
      <c r="D48" s="302" t="s">
        <v>642</v>
      </c>
      <c r="E48" s="305"/>
      <c r="F48" s="356" t="str">
        <f>C47</f>
        <v>Reunion</v>
      </c>
      <c r="G48" s="259"/>
      <c r="H48" s="303"/>
      <c r="I48" s="99"/>
      <c r="J48" s="314"/>
      <c r="K48" s="99"/>
      <c r="L48" s="99"/>
      <c r="M48" s="257"/>
      <c r="N48" s="65"/>
      <c r="O48" s="262"/>
      <c r="P48" s="306"/>
      <c r="Q48" s="259"/>
      <c r="R48" s="99"/>
      <c r="S48" s="99"/>
    </row>
    <row r="49" spans="2:19" ht="18" customHeight="1">
      <c r="B49" s="92"/>
      <c r="D49" s="598" t="s">
        <v>1020</v>
      </c>
      <c r="E49" s="316"/>
      <c r="F49" s="285"/>
      <c r="G49" s="268"/>
      <c r="H49" s="303"/>
      <c r="I49" s="313"/>
      <c r="J49" s="352"/>
      <c r="K49" s="99"/>
      <c r="L49" s="99"/>
      <c r="M49" s="257"/>
      <c r="N49" s="258"/>
      <c r="O49" s="261"/>
      <c r="P49" s="306"/>
      <c r="R49" s="99"/>
      <c r="S49" s="99"/>
    </row>
    <row r="50" spans="2:19" ht="18" customHeight="1">
      <c r="B50" s="92"/>
      <c r="C50" s="92" t="s">
        <v>284</v>
      </c>
      <c r="D50" s="517"/>
      <c r="E50" s="92"/>
      <c r="F50" s="307"/>
      <c r="G50" s="259"/>
      <c r="H50" s="303"/>
      <c r="K50" s="99"/>
      <c r="L50" s="99"/>
      <c r="N50" s="258"/>
      <c r="O50" s="263"/>
      <c r="P50" s="263"/>
      <c r="Q50" s="259"/>
      <c r="R50" s="99"/>
      <c r="S50" s="99"/>
    </row>
    <row r="51" spans="2:19" ht="18" customHeight="1">
      <c r="B51" s="92"/>
      <c r="C51" s="131" t="str">
        <f>C75</f>
        <v>VANICA</v>
      </c>
      <c r="D51" s="316" t="s">
        <v>291</v>
      </c>
      <c r="E51" s="92"/>
      <c r="F51" s="259"/>
      <c r="G51" s="307"/>
      <c r="H51" s="295" t="s">
        <v>645</v>
      </c>
      <c r="I51" s="259"/>
      <c r="J51" s="99"/>
      <c r="K51" s="99"/>
      <c r="L51" s="99"/>
      <c r="N51" s="258"/>
      <c r="O51" s="261"/>
      <c r="P51" s="190"/>
      <c r="S51" s="99"/>
    </row>
    <row r="52" spans="2:19" ht="18" customHeight="1">
      <c r="B52" s="92"/>
      <c r="C52" s="92"/>
      <c r="D52" s="92"/>
      <c r="E52" s="92"/>
      <c r="F52" s="259"/>
      <c r="G52" s="259"/>
      <c r="H52" s="300"/>
      <c r="K52" s="99"/>
      <c r="N52" s="258"/>
      <c r="O52" s="261"/>
      <c r="P52" s="306"/>
      <c r="S52" s="99"/>
    </row>
    <row r="53" spans="2:19" ht="18" customHeight="1">
      <c r="B53" s="92"/>
      <c r="C53" s="92"/>
      <c r="D53" s="92"/>
      <c r="E53" s="92"/>
      <c r="F53" s="259"/>
      <c r="G53" s="259"/>
      <c r="H53" s="303"/>
      <c r="M53" s="323"/>
      <c r="N53" s="257"/>
      <c r="O53" s="260"/>
      <c r="P53" s="306"/>
      <c r="S53" s="99"/>
    </row>
    <row r="54" spans="2:19" ht="18" customHeight="1">
      <c r="B54" s="92"/>
      <c r="C54" s="92"/>
      <c r="D54" s="92"/>
      <c r="E54" s="92"/>
      <c r="F54" s="307"/>
      <c r="G54" s="99"/>
      <c r="H54" s="303"/>
      <c r="M54" s="257"/>
      <c r="N54" s="324"/>
      <c r="O54" s="259"/>
      <c r="P54" s="306"/>
      <c r="S54" s="99"/>
    </row>
    <row r="55" spans="2:19" ht="18" customHeight="1">
      <c r="B55" s="92"/>
      <c r="C55" s="92"/>
      <c r="D55" s="92"/>
      <c r="E55" s="92" t="s">
        <v>290</v>
      </c>
      <c r="F55" s="65"/>
      <c r="G55" s="325"/>
      <c r="H55" s="303"/>
      <c r="M55" s="257"/>
      <c r="N55" s="326"/>
      <c r="O55" s="259"/>
      <c r="P55" s="306"/>
    </row>
    <row r="56" spans="2:19" ht="18" customHeight="1">
      <c r="B56" s="92"/>
      <c r="C56" s="92"/>
      <c r="D56" s="92"/>
      <c r="E56" s="131" t="str">
        <f>女乙賽程!Y20</f>
        <v>Limit</v>
      </c>
      <c r="F56" s="294"/>
      <c r="G56" s="259"/>
      <c r="H56" s="303"/>
      <c r="L56" s="99"/>
      <c r="N56" s="257"/>
      <c r="O56" s="259"/>
      <c r="P56" s="44"/>
      <c r="Q56" s="99"/>
    </row>
    <row r="57" spans="2:19" ht="18" customHeight="1">
      <c r="B57" s="92"/>
      <c r="C57" s="92"/>
      <c r="D57" s="92"/>
      <c r="E57" s="92"/>
      <c r="F57" s="295" t="s">
        <v>274</v>
      </c>
      <c r="G57" s="313"/>
      <c r="H57" s="352" t="str">
        <f>F60</f>
        <v xml:space="preserve">Blue team </v>
      </c>
      <c r="I57" s="99"/>
      <c r="N57" s="258"/>
      <c r="O57" s="261"/>
      <c r="P57" s="65"/>
      <c r="Q57" s="327"/>
      <c r="R57" s="100"/>
      <c r="S57" s="101"/>
    </row>
    <row r="58" spans="2:19" ht="18" customHeight="1">
      <c r="B58" s="92"/>
      <c r="C58" s="92" t="s">
        <v>284</v>
      </c>
      <c r="D58" s="92"/>
      <c r="E58" s="92"/>
      <c r="F58" s="599" t="s">
        <v>1022</v>
      </c>
      <c r="G58" s="259"/>
      <c r="H58" s="65"/>
      <c r="I58" s="328"/>
      <c r="J58" s="328"/>
      <c r="K58" s="265" t="s">
        <v>1018</v>
      </c>
      <c r="L58" s="329"/>
      <c r="N58" s="44"/>
      <c r="O58" s="259"/>
      <c r="P58" s="99"/>
      <c r="Q58" s="327"/>
      <c r="R58" s="100"/>
      <c r="S58" s="101"/>
    </row>
    <row r="59" spans="2:19" ht="18" customHeight="1">
      <c r="B59" s="92"/>
      <c r="C59" s="131" t="str">
        <f>C68</f>
        <v xml:space="preserve">Blue team </v>
      </c>
      <c r="D59" s="299" t="s">
        <v>302</v>
      </c>
      <c r="E59" s="92"/>
      <c r="F59" s="315"/>
      <c r="G59" s="259"/>
      <c r="H59" s="99"/>
      <c r="I59" s="328"/>
      <c r="J59" s="330" t="s">
        <v>646</v>
      </c>
      <c r="M59" s="354"/>
      <c r="N59" s="644"/>
      <c r="O59" s="259"/>
      <c r="P59" s="99"/>
      <c r="Q59" s="327"/>
      <c r="R59" s="100"/>
      <c r="S59" s="101"/>
    </row>
    <row r="60" spans="2:19" ht="18" customHeight="1">
      <c r="B60" s="92"/>
      <c r="C60" s="92"/>
      <c r="D60" s="302" t="s">
        <v>643</v>
      </c>
      <c r="E60" s="305"/>
      <c r="F60" s="356" t="str">
        <f>C59</f>
        <v xml:space="preserve">Blue team </v>
      </c>
      <c r="G60" s="259"/>
      <c r="H60" s="99"/>
      <c r="I60" s="328"/>
      <c r="J60" s="402" t="s">
        <v>146</v>
      </c>
      <c r="L60" s="264"/>
      <c r="M60" s="355"/>
      <c r="N60" s="644"/>
      <c r="O60" s="259"/>
      <c r="P60" s="99"/>
      <c r="Q60" s="327"/>
      <c r="R60" s="100"/>
      <c r="S60" s="101"/>
    </row>
    <row r="61" spans="2:19" ht="18" customHeight="1">
      <c r="B61" s="273"/>
      <c r="D61" s="516" t="s">
        <v>1021</v>
      </c>
      <c r="E61" s="316"/>
      <c r="F61" s="285"/>
      <c r="G61" s="328"/>
      <c r="H61" s="99"/>
      <c r="I61" s="331"/>
      <c r="K61" s="288"/>
      <c r="L61" s="308"/>
      <c r="N61" s="44"/>
      <c r="O61" s="260"/>
      <c r="P61" s="99"/>
      <c r="Q61" s="327"/>
      <c r="R61" s="100"/>
      <c r="S61" s="101"/>
    </row>
    <row r="62" spans="2:19" ht="18" customHeight="1">
      <c r="B62" s="128"/>
      <c r="C62" s="92" t="s">
        <v>284</v>
      </c>
      <c r="D62" s="517"/>
      <c r="E62" s="92"/>
      <c r="F62" s="307"/>
      <c r="G62" s="397" t="s">
        <v>356</v>
      </c>
      <c r="H62" s="398" t="s">
        <v>152</v>
      </c>
      <c r="I62" s="259"/>
      <c r="J62" s="264"/>
      <c r="K62" s="353"/>
      <c r="L62" s="332"/>
      <c r="N62" s="44"/>
      <c r="P62" s="44"/>
      <c r="Q62" s="327"/>
      <c r="R62" s="100"/>
      <c r="S62" s="101"/>
    </row>
    <row r="63" spans="2:19" ht="18">
      <c r="B63" s="128"/>
      <c r="C63" s="131" t="str">
        <f>C69</f>
        <v>筱瑩</v>
      </c>
      <c r="D63" s="316" t="s">
        <v>303</v>
      </c>
      <c r="E63" s="92"/>
      <c r="F63" s="259"/>
      <c r="G63" s="397" t="s">
        <v>357</v>
      </c>
      <c r="H63" s="398" t="s">
        <v>154</v>
      </c>
      <c r="I63" s="319"/>
    </row>
    <row r="64" spans="2:19" ht="18">
      <c r="B64" s="273"/>
      <c r="F64" s="328"/>
      <c r="G64" s="397" t="s">
        <v>358</v>
      </c>
      <c r="H64" s="398" t="s">
        <v>219</v>
      </c>
      <c r="I64" s="99"/>
    </row>
    <row r="65" spans="2:12" ht="18">
      <c r="B65" s="128"/>
      <c r="G65" s="397" t="s">
        <v>359</v>
      </c>
      <c r="H65" s="398" t="s">
        <v>220</v>
      </c>
      <c r="I65" s="99"/>
    </row>
    <row r="66" spans="2:12" ht="18">
      <c r="B66" s="333"/>
      <c r="F66" s="328"/>
      <c r="G66" s="397" t="s">
        <v>360</v>
      </c>
      <c r="H66" s="398" t="s">
        <v>222</v>
      </c>
    </row>
    <row r="67" spans="2:12" ht="18">
      <c r="F67" s="328"/>
      <c r="G67" s="397" t="s">
        <v>361</v>
      </c>
      <c r="H67" s="398" t="s">
        <v>621</v>
      </c>
    </row>
    <row r="68" spans="2:12">
      <c r="B68" s="270"/>
      <c r="C68" s="267" t="str">
        <f>女乙賽程!R11</f>
        <v xml:space="preserve">Blue team </v>
      </c>
      <c r="D68" s="267" t="s">
        <v>302</v>
      </c>
      <c r="F68" s="100"/>
      <c r="G68" s="101"/>
      <c r="H68" s="273"/>
      <c r="I68" s="273"/>
    </row>
    <row r="69" spans="2:12" ht="18.75">
      <c r="B69" s="270"/>
      <c r="C69" s="267" t="str">
        <f>女乙賽程!Y11</f>
        <v>筱瑩</v>
      </c>
      <c r="D69" s="267" t="s">
        <v>303</v>
      </c>
      <c r="F69" s="100"/>
      <c r="G69" s="101"/>
      <c r="H69" s="273"/>
      <c r="I69" s="273"/>
      <c r="J69" s="98"/>
    </row>
    <row r="70" spans="2:12" ht="18.75">
      <c r="B70" s="270"/>
      <c r="C70" s="267" t="str">
        <f>女乙賽程!R23</f>
        <v>BUTTERFLY S</v>
      </c>
      <c r="D70" s="267" t="s">
        <v>304</v>
      </c>
      <c r="F70" s="100"/>
      <c r="G70" s="101"/>
      <c r="I70" s="273"/>
      <c r="J70" s="98"/>
    </row>
    <row r="71" spans="2:12" ht="18.75">
      <c r="B71" s="270"/>
      <c r="C71" s="267" t="s">
        <v>802</v>
      </c>
      <c r="D71" s="267" t="s">
        <v>305</v>
      </c>
      <c r="G71" s="100"/>
      <c r="H71" s="101"/>
      <c r="I71" s="273"/>
      <c r="J71" s="98"/>
      <c r="K71" s="100"/>
      <c r="L71" s="101"/>
    </row>
    <row r="72" spans="2:12" ht="18.75">
      <c r="B72" s="270"/>
      <c r="C72" s="267" t="str">
        <f>女乙賽程!R31</f>
        <v>Reunion</v>
      </c>
      <c r="D72" s="267" t="s">
        <v>289</v>
      </c>
      <c r="G72" s="100"/>
      <c r="H72" s="101"/>
      <c r="J72" s="98"/>
    </row>
    <row r="73" spans="2:12">
      <c r="B73" s="270"/>
      <c r="C73" s="267" t="str">
        <f>女乙賽程!R32</f>
        <v>GLORY</v>
      </c>
      <c r="D73" s="267" t="s">
        <v>306</v>
      </c>
      <c r="G73" s="100"/>
      <c r="H73" s="101"/>
    </row>
    <row r="74" spans="2:12">
      <c r="C74" s="267" t="str">
        <f>女乙賽程!Y31</f>
        <v>麥糖</v>
      </c>
      <c r="D74" s="267" t="s">
        <v>635</v>
      </c>
    </row>
    <row r="75" spans="2:12">
      <c r="C75" s="267" t="str">
        <f>女乙賽程!Y32</f>
        <v>VANICA</v>
      </c>
      <c r="D75" s="267" t="s">
        <v>291</v>
      </c>
    </row>
    <row r="118" spans="2:12">
      <c r="K118" s="100" t="s">
        <v>147</v>
      </c>
      <c r="L118" s="101" t="s">
        <v>152</v>
      </c>
    </row>
    <row r="119" spans="2:12">
      <c r="B119" s="333"/>
      <c r="G119" s="327"/>
      <c r="H119" s="260"/>
      <c r="K119" s="100" t="s">
        <v>149</v>
      </c>
      <c r="L119" s="101" t="s">
        <v>154</v>
      </c>
    </row>
    <row r="120" spans="2:12">
      <c r="K120" s="100" t="s">
        <v>151</v>
      </c>
      <c r="L120" s="101" t="s">
        <v>219</v>
      </c>
    </row>
    <row r="121" spans="2:12">
      <c r="K121" s="100" t="s">
        <v>153</v>
      </c>
      <c r="L121" s="101" t="s">
        <v>220</v>
      </c>
    </row>
    <row r="122" spans="2:12">
      <c r="K122" s="100" t="s">
        <v>221</v>
      </c>
      <c r="L122" s="101" t="s">
        <v>222</v>
      </c>
    </row>
    <row r="123" spans="2:12">
      <c r="K123" s="100" t="s">
        <v>223</v>
      </c>
      <c r="L123" s="101" t="s">
        <v>224</v>
      </c>
    </row>
    <row r="124" spans="2:12">
      <c r="K124" s="100"/>
      <c r="L124" s="101"/>
    </row>
  </sheetData>
  <sheetProtection selectLockedCells="1" selectUnlockedCells="1"/>
  <mergeCells count="2">
    <mergeCell ref="L39:L40"/>
    <mergeCell ref="N59:N60"/>
  </mergeCells>
  <phoneticPr fontId="49" type="noConversion"/>
  <printOptions horizontalCentered="1" verticalCentered="1"/>
  <pageMargins left="0.25" right="0.25" top="0.75" bottom="0.75" header="0.51180555555555551" footer="0.51180555555555551"/>
  <pageSetup paperSize="9" scale="53" firstPageNumber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D41"/>
  <sheetViews>
    <sheetView topLeftCell="D1" zoomScale="70" zoomScaleNormal="70" workbookViewId="0">
      <selection activeCell="R35" sqref="R35"/>
    </sheetView>
  </sheetViews>
  <sheetFormatPr defaultColWidth="7.6640625" defaultRowHeight="15.75"/>
  <cols>
    <col min="1" max="1" width="0" style="65" hidden="1" customWidth="1"/>
    <col min="2" max="2" width="8.109375" style="65" customWidth="1"/>
    <col min="3" max="3" width="6.6640625" style="65" customWidth="1"/>
    <col min="4" max="4" width="8.6640625" style="65" customWidth="1"/>
    <col min="5" max="5" width="13.33203125" style="65" customWidth="1"/>
    <col min="6" max="6" width="4.33203125" style="65" customWidth="1"/>
    <col min="7" max="7" width="13.5546875" style="65" customWidth="1"/>
    <col min="8" max="8" width="17" style="65" customWidth="1"/>
    <col min="9" max="9" width="2.6640625" style="65" customWidth="1"/>
    <col min="10" max="10" width="17.6640625" style="65" customWidth="1"/>
    <col min="11" max="14" width="7.6640625" style="197"/>
    <col min="15" max="15" width="13.5546875" style="65" customWidth="1"/>
    <col min="16" max="16" width="7.6640625" style="65"/>
    <col min="17" max="17" width="7.21875" style="65" bestFit="1" customWidth="1"/>
    <col min="18" max="18" width="18.44140625" style="65" bestFit="1" customWidth="1"/>
    <col min="19" max="21" width="7.6640625" style="65"/>
    <col min="22" max="22" width="13.109375" style="65" customWidth="1"/>
    <col min="23" max="23" width="7.6640625" style="65"/>
    <col min="24" max="24" width="7.21875" style="65" bestFit="1" customWidth="1"/>
    <col min="25" max="25" width="10.6640625" style="65" customWidth="1"/>
    <col min="26" max="16384" width="7.6640625" style="65"/>
  </cols>
  <sheetData>
    <row r="1" spans="1:30">
      <c r="B1" s="518"/>
      <c r="C1" s="506" t="s">
        <v>275</v>
      </c>
      <c r="D1" s="200"/>
      <c r="E1" s="274"/>
      <c r="F1" s="275"/>
      <c r="G1" s="200"/>
      <c r="H1" s="508"/>
      <c r="I1" s="275"/>
      <c r="J1" s="275"/>
      <c r="K1" s="200"/>
      <c r="L1" s="200"/>
      <c r="M1" s="200"/>
      <c r="N1" s="200"/>
    </row>
    <row r="2" spans="1:30" ht="16.5">
      <c r="B2" s="519"/>
      <c r="C2" s="506" t="s">
        <v>758</v>
      </c>
      <c r="D2" s="200"/>
      <c r="E2" s="274"/>
      <c r="F2" s="275"/>
      <c r="G2" s="200"/>
      <c r="H2" s="508"/>
      <c r="I2" s="275"/>
      <c r="J2" s="275"/>
      <c r="K2" s="200"/>
      <c r="L2" s="200"/>
      <c r="M2" s="200"/>
      <c r="N2" s="200"/>
    </row>
    <row r="3" spans="1:30">
      <c r="C3" s="200"/>
      <c r="D3" s="200"/>
      <c r="E3" s="200"/>
      <c r="F3" s="200"/>
      <c r="G3" s="277"/>
      <c r="H3" s="645" t="s">
        <v>333</v>
      </c>
      <c r="I3" s="645"/>
      <c r="J3" s="645"/>
      <c r="K3" s="278" t="s">
        <v>337</v>
      </c>
      <c r="L3" s="278" t="s">
        <v>338</v>
      </c>
      <c r="M3" s="278" t="s">
        <v>338</v>
      </c>
      <c r="N3" s="278" t="s">
        <v>337</v>
      </c>
    </row>
    <row r="4" spans="1:30">
      <c r="A4" s="205" t="s">
        <v>83</v>
      </c>
      <c r="B4" s="48"/>
      <c r="C4" s="278" t="s">
        <v>157</v>
      </c>
      <c r="D4" s="334" t="s">
        <v>158</v>
      </c>
      <c r="E4" s="278"/>
      <c r="F4" s="278" t="s">
        <v>159</v>
      </c>
      <c r="G4" s="278"/>
      <c r="H4" s="279" t="s">
        <v>160</v>
      </c>
      <c r="I4" s="335"/>
      <c r="J4" s="279" t="s">
        <v>161</v>
      </c>
      <c r="K4" s="278"/>
      <c r="L4" s="278"/>
      <c r="M4" s="278"/>
      <c r="N4" s="278"/>
    </row>
    <row r="5" spans="1:30" ht="16.5" customHeight="1" thickBot="1">
      <c r="A5" s="48" t="s">
        <v>162</v>
      </c>
      <c r="B5" s="336"/>
      <c r="C5" s="280" t="s">
        <v>332</v>
      </c>
      <c r="D5" s="337" t="s">
        <v>156</v>
      </c>
      <c r="E5" s="280"/>
      <c r="F5" s="280" t="s">
        <v>333</v>
      </c>
      <c r="G5" s="280"/>
      <c r="H5" s="338" t="s">
        <v>47</v>
      </c>
      <c r="I5" s="339"/>
      <c r="J5" s="338" t="s">
        <v>47</v>
      </c>
      <c r="K5" s="278"/>
      <c r="L5" s="278"/>
      <c r="M5" s="278"/>
      <c r="N5" s="278"/>
    </row>
    <row r="6" spans="1:30" ht="17.25" hidden="1" thickTop="1" thickBot="1">
      <c r="A6" s="52" t="e">
        <f>IF(#REF!&lt;&gt;#REF!,#REF!,"")</f>
        <v>#REF!</v>
      </c>
      <c r="B6" s="102">
        <v>1</v>
      </c>
      <c r="C6" s="340" t="s">
        <v>166</v>
      </c>
      <c r="D6" s="341">
        <v>1</v>
      </c>
      <c r="E6" s="80" t="s">
        <v>61</v>
      </c>
      <c r="F6" s="69" t="s">
        <v>167</v>
      </c>
      <c r="G6" s="70" t="s">
        <v>102</v>
      </c>
      <c r="H6" s="53" t="str">
        <f>VLOOKUP(E6,WD!$C$6:$K$77,3,FALSE)</f>
        <v xml:space="preserve">Blue team </v>
      </c>
      <c r="I6" s="53" t="s">
        <v>167</v>
      </c>
      <c r="J6" s="53" t="str">
        <f>VLOOKUP(G6,WD!$C$6:$K$77,3,FALSE)</f>
        <v>A4</v>
      </c>
      <c r="K6" s="46"/>
      <c r="L6" s="46"/>
      <c r="M6" s="46"/>
      <c r="N6" s="46"/>
      <c r="P6" s="51" t="s">
        <v>164</v>
      </c>
      <c r="Q6" s="51" t="s">
        <v>165</v>
      </c>
      <c r="R6" s="51" t="s">
        <v>52</v>
      </c>
      <c r="S6" s="65" t="s">
        <v>172</v>
      </c>
      <c r="U6" s="50" t="s">
        <v>163</v>
      </c>
      <c r="V6" s="51" t="s">
        <v>46</v>
      </c>
      <c r="W6" s="51" t="s">
        <v>164</v>
      </c>
      <c r="X6" s="51" t="s">
        <v>165</v>
      </c>
      <c r="Y6" s="51" t="s">
        <v>52</v>
      </c>
    </row>
    <row r="7" spans="1:30" ht="17.25" thickTop="1" thickBot="1">
      <c r="A7" s="54" t="e">
        <f>IF(#REF!&lt;&gt;#REF!,#REF!,"")</f>
        <v>#REF!</v>
      </c>
      <c r="B7" s="103">
        <v>1</v>
      </c>
      <c r="C7" s="340" t="s">
        <v>166</v>
      </c>
      <c r="D7" s="341">
        <v>2</v>
      </c>
      <c r="E7" s="80" t="s">
        <v>75</v>
      </c>
      <c r="F7" s="69" t="s">
        <v>167</v>
      </c>
      <c r="G7" s="70" t="s">
        <v>94</v>
      </c>
      <c r="H7" s="53" t="str">
        <f>VLOOKUP(E7,WD!$C$6:$K$77,3,FALSE)</f>
        <v>荃青—黑寶</v>
      </c>
      <c r="I7" s="53" t="s">
        <v>167</v>
      </c>
      <c r="J7" s="53" t="str">
        <f>VLOOKUP(G7,WD!$C$6:$K$77,3,FALSE)</f>
        <v>panda</v>
      </c>
      <c r="K7" s="46">
        <v>2</v>
      </c>
      <c r="L7" s="46">
        <v>42</v>
      </c>
      <c r="M7" s="46">
        <v>0</v>
      </c>
      <c r="N7" s="46">
        <v>0</v>
      </c>
      <c r="O7" s="65" t="s">
        <v>773</v>
      </c>
      <c r="P7" s="51" t="s">
        <v>166</v>
      </c>
      <c r="Q7" s="50" t="s">
        <v>163</v>
      </c>
      <c r="R7" s="51" t="s">
        <v>46</v>
      </c>
      <c r="S7" s="51" t="s">
        <v>164</v>
      </c>
      <c r="T7" s="51" t="s">
        <v>284</v>
      </c>
      <c r="U7" s="51" t="s">
        <v>165</v>
      </c>
      <c r="V7" s="51" t="s">
        <v>52</v>
      </c>
      <c r="W7" s="65" t="s">
        <v>172</v>
      </c>
      <c r="X7" s="50" t="s">
        <v>163</v>
      </c>
      <c r="Y7" s="51" t="s">
        <v>46</v>
      </c>
      <c r="Z7" s="51" t="s">
        <v>164</v>
      </c>
      <c r="AA7" s="51" t="s">
        <v>284</v>
      </c>
      <c r="AB7" s="51" t="s">
        <v>165</v>
      </c>
      <c r="AC7" s="51" t="s">
        <v>52</v>
      </c>
      <c r="AD7" s="51"/>
    </row>
    <row r="8" spans="1:30" ht="17.25" thickTop="1" thickBot="1">
      <c r="A8" s="54" t="e">
        <f>IF(#REF!&lt;&gt;#REF!,#REF!,"")</f>
        <v>#REF!</v>
      </c>
      <c r="B8" s="102">
        <v>2</v>
      </c>
      <c r="C8" s="340" t="s">
        <v>166</v>
      </c>
      <c r="D8" s="341">
        <v>3</v>
      </c>
      <c r="E8" s="80" t="s">
        <v>61</v>
      </c>
      <c r="F8" s="69" t="s">
        <v>167</v>
      </c>
      <c r="G8" s="70" t="s">
        <v>94</v>
      </c>
      <c r="H8" s="53" t="str">
        <f>VLOOKUP(E8,WD!$C$6:$K$77,3,FALSE)</f>
        <v xml:space="preserve">Blue team </v>
      </c>
      <c r="I8" s="53" t="s">
        <v>167</v>
      </c>
      <c r="J8" s="53" t="str">
        <f>VLOOKUP(G8,WD!$C$6:$K$77,3,FALSE)</f>
        <v>panda</v>
      </c>
      <c r="K8" s="46">
        <v>2</v>
      </c>
      <c r="L8" s="46">
        <v>42</v>
      </c>
      <c r="M8" s="46">
        <v>0</v>
      </c>
      <c r="N8" s="46">
        <v>0</v>
      </c>
      <c r="O8" s="65" t="s">
        <v>773</v>
      </c>
      <c r="P8" s="51"/>
      <c r="Q8" s="209">
        <v>1</v>
      </c>
      <c r="R8" s="220" t="str">
        <f>H7</f>
        <v>荃青—黑寶</v>
      </c>
      <c r="S8" s="220">
        <v>1</v>
      </c>
      <c r="T8" s="220">
        <v>0</v>
      </c>
      <c r="U8" s="220">
        <v>1</v>
      </c>
      <c r="V8" s="220">
        <f>S8*3+T8*1+U8*0</f>
        <v>3</v>
      </c>
      <c r="X8" s="209">
        <v>1</v>
      </c>
      <c r="Y8" s="220" t="s">
        <v>778</v>
      </c>
      <c r="Z8" s="220">
        <v>1</v>
      </c>
      <c r="AA8" s="220">
        <v>1</v>
      </c>
      <c r="AB8" s="220">
        <v>0</v>
      </c>
      <c r="AC8" s="220">
        <f>Z8*3+AA8*1+AB8*0</f>
        <v>4</v>
      </c>
    </row>
    <row r="9" spans="1:30" ht="17.25" hidden="1" thickTop="1" thickBot="1">
      <c r="A9" s="54" t="e">
        <f>IF(#REF!&lt;&gt;#REF!,#REF!,"")</f>
        <v>#REF!</v>
      </c>
      <c r="B9" s="103">
        <v>4</v>
      </c>
      <c r="C9" s="340" t="s">
        <v>166</v>
      </c>
      <c r="D9" s="341">
        <v>4</v>
      </c>
      <c r="E9" s="80" t="s">
        <v>75</v>
      </c>
      <c r="F9" s="69" t="s">
        <v>167</v>
      </c>
      <c r="G9" s="70" t="s">
        <v>102</v>
      </c>
      <c r="H9" s="53" t="str">
        <f>VLOOKUP(E9,WD!$C$6:$K$77,3,FALSE)</f>
        <v>荃青—黑寶</v>
      </c>
      <c r="I9" s="53" t="s">
        <v>167</v>
      </c>
      <c r="J9" s="53" t="str">
        <f>VLOOKUP(G9,WD!$C$6:$K$77,3,FALSE)</f>
        <v>A4</v>
      </c>
      <c r="K9" s="46"/>
      <c r="L9" s="46"/>
      <c r="M9" s="46"/>
      <c r="N9" s="46"/>
      <c r="P9" s="51"/>
      <c r="Q9" s="209">
        <v>2</v>
      </c>
      <c r="R9" s="220"/>
      <c r="S9" s="220"/>
      <c r="T9" s="220"/>
      <c r="U9" s="220"/>
      <c r="V9" s="220">
        <f>S9*3+U9*0</f>
        <v>0</v>
      </c>
      <c r="X9" s="209">
        <v>2</v>
      </c>
      <c r="Y9" s="220"/>
      <c r="Z9" s="220"/>
      <c r="AA9" s="220"/>
      <c r="AB9" s="220"/>
      <c r="AC9" s="220">
        <f>Z9*3+AB9*0</f>
        <v>0</v>
      </c>
    </row>
    <row r="10" spans="1:30" ht="17.25" hidden="1" thickTop="1" thickBot="1">
      <c r="A10" s="54" t="e">
        <f>IF(#REF!&lt;&gt;#REF!,#REF!,"")</f>
        <v>#REF!</v>
      </c>
      <c r="B10" s="102">
        <v>5</v>
      </c>
      <c r="C10" s="340" t="s">
        <v>166</v>
      </c>
      <c r="D10" s="341">
        <v>5</v>
      </c>
      <c r="E10" s="80" t="s">
        <v>94</v>
      </c>
      <c r="F10" s="69" t="s">
        <v>167</v>
      </c>
      <c r="G10" s="70" t="s">
        <v>102</v>
      </c>
      <c r="H10" s="53" t="str">
        <f>VLOOKUP(E10,WD!$C$6:$K$77,3,FALSE)</f>
        <v>panda</v>
      </c>
      <c r="I10" s="53" t="s">
        <v>167</v>
      </c>
      <c r="J10" s="53" t="str">
        <f>VLOOKUP(G10,WD!$C$6:$K$77,3,FALSE)</f>
        <v>A4</v>
      </c>
      <c r="K10" s="46"/>
      <c r="L10" s="46"/>
      <c r="M10" s="46"/>
      <c r="N10" s="46"/>
      <c r="P10" s="51"/>
      <c r="Q10" s="209">
        <v>3</v>
      </c>
      <c r="R10" s="220"/>
      <c r="S10" s="220"/>
      <c r="T10" s="220"/>
      <c r="U10" s="220"/>
      <c r="V10" s="220">
        <f>S10*3+U10*0</f>
        <v>0</v>
      </c>
      <c r="X10" s="436">
        <v>3</v>
      </c>
      <c r="Y10" s="437"/>
      <c r="Z10" s="437"/>
      <c r="AA10" s="437"/>
      <c r="AB10" s="437"/>
      <c r="AC10" s="437">
        <f>Z10*3+AB10*0</f>
        <v>0</v>
      </c>
    </row>
    <row r="11" spans="1:30" ht="17.25" thickTop="1" thickBot="1">
      <c r="A11" s="54"/>
      <c r="B11" s="103">
        <v>3</v>
      </c>
      <c r="C11" s="342" t="s">
        <v>166</v>
      </c>
      <c r="D11" s="343">
        <v>6</v>
      </c>
      <c r="E11" s="82" t="s">
        <v>61</v>
      </c>
      <c r="F11" s="73" t="s">
        <v>167</v>
      </c>
      <c r="G11" s="74" t="s">
        <v>75</v>
      </c>
      <c r="H11" s="53" t="str">
        <f>VLOOKUP(E11,WD!$C$6:$K$77,3,FALSE)</f>
        <v xml:space="preserve">Blue team </v>
      </c>
      <c r="I11" s="53" t="s">
        <v>167</v>
      </c>
      <c r="J11" s="53" t="str">
        <f>VLOOKUP(G11,WD!$C$6:$K$77,3,FALSE)</f>
        <v>荃青—黑寶</v>
      </c>
      <c r="K11" s="46">
        <v>0</v>
      </c>
      <c r="L11" s="46">
        <f>16+8</f>
        <v>24</v>
      </c>
      <c r="M11" s="46">
        <f>21+21</f>
        <v>42</v>
      </c>
      <c r="N11" s="46">
        <v>2</v>
      </c>
      <c r="O11" s="65" t="s">
        <v>774</v>
      </c>
      <c r="P11" s="51"/>
      <c r="Q11" s="209">
        <v>2</v>
      </c>
      <c r="R11" s="220" t="str">
        <f>H8</f>
        <v xml:space="preserve">Blue team </v>
      </c>
      <c r="S11" s="220">
        <v>0</v>
      </c>
      <c r="T11" s="220">
        <v>0</v>
      </c>
      <c r="U11" s="220">
        <v>1</v>
      </c>
      <c r="V11" s="220">
        <f>S11*3+U11*0</f>
        <v>0</v>
      </c>
      <c r="X11" s="435">
        <v>2</v>
      </c>
      <c r="Y11" s="439" t="s">
        <v>830</v>
      </c>
      <c r="Z11" s="439">
        <v>0</v>
      </c>
      <c r="AA11" s="439">
        <v>2</v>
      </c>
      <c r="AB11" s="439">
        <v>0</v>
      </c>
      <c r="AC11" s="439">
        <f>Z11*3+AA11*1+AB11*0</f>
        <v>2</v>
      </c>
    </row>
    <row r="12" spans="1:30" ht="17.25" hidden="1" thickTop="1" thickBot="1">
      <c r="A12" s="54"/>
      <c r="B12" s="102">
        <v>4</v>
      </c>
      <c r="C12" s="340" t="s">
        <v>172</v>
      </c>
      <c r="D12" s="344">
        <v>1</v>
      </c>
      <c r="E12" s="62" t="s">
        <v>62</v>
      </c>
      <c r="F12" s="62" t="s">
        <v>167</v>
      </c>
      <c r="G12" s="63" t="s">
        <v>104</v>
      </c>
      <c r="H12" s="53" t="str">
        <f>VLOOKUP(E12,WD!$C$6:$K$77,3,FALSE)</f>
        <v>筱瑩</v>
      </c>
      <c r="I12" s="53" t="s">
        <v>167</v>
      </c>
      <c r="J12" s="53" t="str">
        <f>VLOOKUP(G12,WD!$C$6:$K$77,3,FALSE)</f>
        <v>B4</v>
      </c>
      <c r="K12" s="46"/>
      <c r="L12" s="46"/>
      <c r="M12" s="46"/>
      <c r="N12" s="46"/>
      <c r="P12" s="51"/>
      <c r="Q12" s="436">
        <v>3</v>
      </c>
      <c r="R12" s="440"/>
      <c r="S12" s="437"/>
      <c r="T12" s="437"/>
      <c r="U12" s="437"/>
      <c r="V12" s="437">
        <f>S12*3+U12*0</f>
        <v>0</v>
      </c>
      <c r="X12" s="435">
        <v>3</v>
      </c>
      <c r="Y12" s="442"/>
      <c r="Z12" s="439"/>
      <c r="AA12" s="439"/>
      <c r="AB12" s="439"/>
      <c r="AC12" s="439">
        <f>Z12*3+AA12*1+AB12*0</f>
        <v>0</v>
      </c>
    </row>
    <row r="13" spans="1:30" ht="17.25" thickTop="1" thickBot="1">
      <c r="A13" s="54"/>
      <c r="B13" s="103">
        <v>5</v>
      </c>
      <c r="C13" s="345" t="s">
        <v>172</v>
      </c>
      <c r="D13" s="346">
        <v>2</v>
      </c>
      <c r="E13" s="69" t="s">
        <v>74</v>
      </c>
      <c r="F13" s="69" t="s">
        <v>167</v>
      </c>
      <c r="G13" s="70" t="s">
        <v>95</v>
      </c>
      <c r="H13" s="53" t="str">
        <f>VLOOKUP(E13,WD!$C$6:$K$77,3,FALSE)</f>
        <v>SYNERGY</v>
      </c>
      <c r="I13" s="53" t="s">
        <v>167</v>
      </c>
      <c r="J13" s="53" t="str">
        <f>VLOOKUP(G13,WD!$C$6:$K$77,3,FALSE)</f>
        <v>Ching Chung</v>
      </c>
      <c r="K13" s="46">
        <v>2</v>
      </c>
      <c r="L13" s="46">
        <f>21+23</f>
        <v>44</v>
      </c>
      <c r="M13" s="46">
        <f>14+21</f>
        <v>35</v>
      </c>
      <c r="N13" s="46">
        <v>0</v>
      </c>
      <c r="O13" s="65" t="s">
        <v>775</v>
      </c>
      <c r="P13" s="92"/>
      <c r="Q13" s="532"/>
      <c r="R13" s="533" t="str">
        <f>J7</f>
        <v>panda</v>
      </c>
      <c r="S13" s="533"/>
      <c r="T13" s="533"/>
      <c r="U13" s="533"/>
      <c r="V13" s="533">
        <f>S13*3+T13*1+U13*0</f>
        <v>0</v>
      </c>
      <c r="W13" s="92"/>
      <c r="X13" s="435">
        <v>3</v>
      </c>
      <c r="Y13" s="439" t="s">
        <v>779</v>
      </c>
      <c r="Z13" s="439">
        <v>0</v>
      </c>
      <c r="AA13" s="439">
        <v>1</v>
      </c>
      <c r="AB13" s="439">
        <v>1</v>
      </c>
      <c r="AC13" s="220">
        <f>Z13*3+AA13*1+AB13*0</f>
        <v>1</v>
      </c>
    </row>
    <row r="14" spans="1:30" ht="17.25" thickTop="1" thickBot="1">
      <c r="A14" s="54"/>
      <c r="B14" s="102">
        <v>6</v>
      </c>
      <c r="C14" s="345" t="s">
        <v>172</v>
      </c>
      <c r="D14" s="346">
        <v>3</v>
      </c>
      <c r="E14" s="69" t="s">
        <v>62</v>
      </c>
      <c r="F14" s="69" t="s">
        <v>167</v>
      </c>
      <c r="G14" s="70" t="s">
        <v>95</v>
      </c>
      <c r="H14" s="53" t="str">
        <f>VLOOKUP(E14,WD!$C$6:$K$77,3,FALSE)</f>
        <v>筱瑩</v>
      </c>
      <c r="I14" s="53" t="s">
        <v>167</v>
      </c>
      <c r="J14" s="53" t="str">
        <f>VLOOKUP(G14,WD!$C$6:$K$77,3,FALSE)</f>
        <v>Ching Chung</v>
      </c>
      <c r="K14" s="46">
        <v>1</v>
      </c>
      <c r="L14" s="46">
        <f>21+17</f>
        <v>38</v>
      </c>
      <c r="M14" s="46">
        <f>11+21</f>
        <v>32</v>
      </c>
      <c r="N14" s="46">
        <v>1</v>
      </c>
      <c r="O14" s="65" t="s">
        <v>776</v>
      </c>
      <c r="P14" s="92"/>
      <c r="Q14" s="393"/>
      <c r="R14" s="393"/>
      <c r="S14" s="393"/>
      <c r="T14" s="393"/>
      <c r="U14" s="393"/>
      <c r="V14" s="393"/>
      <c r="W14" s="92"/>
      <c r="X14" s="393"/>
      <c r="Y14" s="393"/>
      <c r="Z14" s="393"/>
      <c r="AA14" s="393"/>
      <c r="AB14" s="393"/>
      <c r="AC14" s="393"/>
    </row>
    <row r="15" spans="1:30" ht="17.25" hidden="1" thickTop="1" thickBot="1">
      <c r="A15" s="54"/>
      <c r="B15" s="103">
        <v>7</v>
      </c>
      <c r="C15" s="345" t="s">
        <v>172</v>
      </c>
      <c r="D15" s="346">
        <v>4</v>
      </c>
      <c r="E15" s="69" t="s">
        <v>74</v>
      </c>
      <c r="F15" s="69" t="s">
        <v>167</v>
      </c>
      <c r="G15" s="70" t="s">
        <v>104</v>
      </c>
      <c r="H15" s="53" t="str">
        <f>VLOOKUP(E15,WD!$C$6:$K$77,3,FALSE)</f>
        <v>SYNERGY</v>
      </c>
      <c r="I15" s="53" t="s">
        <v>167</v>
      </c>
      <c r="J15" s="53" t="str">
        <f>VLOOKUP(G15,WD!$C$6:$K$77,3,FALSE)</f>
        <v>B4</v>
      </c>
      <c r="K15" s="46"/>
      <c r="L15" s="46"/>
      <c r="M15" s="46"/>
      <c r="N15" s="46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92"/>
      <c r="AA15" s="92"/>
      <c r="AB15" s="92"/>
      <c r="AC15" s="92"/>
    </row>
    <row r="16" spans="1:30" ht="17.25" hidden="1" thickTop="1" thickBot="1">
      <c r="A16" s="54"/>
      <c r="B16" s="102">
        <v>8</v>
      </c>
      <c r="C16" s="345" t="s">
        <v>172</v>
      </c>
      <c r="D16" s="346">
        <v>5</v>
      </c>
      <c r="E16" s="69" t="s">
        <v>95</v>
      </c>
      <c r="F16" s="69" t="s">
        <v>167</v>
      </c>
      <c r="G16" s="70" t="s">
        <v>104</v>
      </c>
      <c r="H16" s="53" t="str">
        <f>VLOOKUP(E16,WD!$C$6:$K$77,3,FALSE)</f>
        <v>Ching Chung</v>
      </c>
      <c r="I16" s="53" t="s">
        <v>167</v>
      </c>
      <c r="J16" s="53" t="str">
        <f>VLOOKUP(G16,WD!$C$6:$K$77,3,FALSE)</f>
        <v>B4</v>
      </c>
      <c r="K16" s="46"/>
      <c r="L16" s="46"/>
      <c r="M16" s="46"/>
      <c r="N16" s="46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</row>
    <row r="17" spans="1:29" ht="17.25" thickTop="1" thickBot="1">
      <c r="A17" s="54"/>
      <c r="B17" s="102">
        <v>9</v>
      </c>
      <c r="C17" s="342" t="s">
        <v>172</v>
      </c>
      <c r="D17" s="343">
        <v>6</v>
      </c>
      <c r="E17" s="73" t="s">
        <v>62</v>
      </c>
      <c r="F17" s="73" t="s">
        <v>167</v>
      </c>
      <c r="G17" s="74" t="s">
        <v>74</v>
      </c>
      <c r="H17" s="53" t="str">
        <f>VLOOKUP(E17,WD!$C$6:$K$77,3,FALSE)</f>
        <v>筱瑩</v>
      </c>
      <c r="I17" s="53" t="s">
        <v>167</v>
      </c>
      <c r="J17" s="53" t="str">
        <f>VLOOKUP(G17,WD!$C$6:$K$77,3,FALSE)</f>
        <v>SYNERGY</v>
      </c>
      <c r="K17" s="46">
        <v>1</v>
      </c>
      <c r="L17" s="46">
        <f>15+21</f>
        <v>36</v>
      </c>
      <c r="M17" s="46">
        <f>21+11</f>
        <v>32</v>
      </c>
      <c r="N17" s="46">
        <v>1</v>
      </c>
      <c r="O17" s="65" t="s">
        <v>777</v>
      </c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</row>
    <row r="18" spans="1:29" ht="17.25" hidden="1" thickTop="1" thickBot="1">
      <c r="A18" s="54"/>
      <c r="B18" s="102">
        <v>10</v>
      </c>
      <c r="C18" s="347" t="s">
        <v>173</v>
      </c>
      <c r="D18" s="341">
        <v>1</v>
      </c>
      <c r="E18" s="59" t="s">
        <v>64</v>
      </c>
      <c r="F18" s="62" t="s">
        <v>167</v>
      </c>
      <c r="G18" s="63" t="s">
        <v>105</v>
      </c>
      <c r="H18" s="53" t="str">
        <f>VLOOKUP(E18,WD!$C$6:$K$77,3,FALSE)</f>
        <v>The Passionate Miami</v>
      </c>
      <c r="I18" s="53" t="s">
        <v>167</v>
      </c>
      <c r="J18" s="53" t="str">
        <f>VLOOKUP(G18,WD!$C$6:$K$77,3,FALSE)</f>
        <v>C4</v>
      </c>
      <c r="K18" s="46"/>
      <c r="L18" s="46"/>
      <c r="M18" s="46"/>
      <c r="N18" s="46"/>
      <c r="P18" s="51"/>
    </row>
    <row r="19" spans="1:29" ht="17.25" thickTop="1" thickBot="1">
      <c r="A19" s="54" t="e">
        <f>IF(#REF!&lt;&gt;#REF!,#REF!,"")</f>
        <v>#REF!</v>
      </c>
      <c r="B19" s="102">
        <v>11</v>
      </c>
      <c r="C19" s="345" t="s">
        <v>173</v>
      </c>
      <c r="D19" s="341">
        <v>2</v>
      </c>
      <c r="E19" s="80" t="s">
        <v>73</v>
      </c>
      <c r="F19" s="69" t="s">
        <v>167</v>
      </c>
      <c r="G19" s="70" t="s">
        <v>77</v>
      </c>
      <c r="H19" s="53" t="str">
        <f>VLOOKUP(E19,WD!$C$6:$K$77,3,FALSE)</f>
        <v>CYMCASS</v>
      </c>
      <c r="I19" s="53" t="s">
        <v>167</v>
      </c>
      <c r="J19" s="53" t="str">
        <f>VLOOKUP(G19,WD!$C$6:$K$77,3,FALSE)</f>
        <v>BUTTERFLY S.</v>
      </c>
      <c r="K19" s="46">
        <v>0</v>
      </c>
      <c r="L19" s="46">
        <f>15+14</f>
        <v>29</v>
      </c>
      <c r="M19" s="46">
        <f>21+21</f>
        <v>42</v>
      </c>
      <c r="N19" s="46">
        <v>2</v>
      </c>
      <c r="O19" s="65" t="s">
        <v>780</v>
      </c>
      <c r="P19" s="51"/>
      <c r="Q19" s="50" t="s">
        <v>163</v>
      </c>
      <c r="R19" s="51" t="s">
        <v>46</v>
      </c>
      <c r="S19" s="51" t="s">
        <v>164</v>
      </c>
      <c r="T19" s="51" t="s">
        <v>284</v>
      </c>
      <c r="U19" s="51" t="s">
        <v>165</v>
      </c>
      <c r="V19" s="51" t="s">
        <v>52</v>
      </c>
      <c r="X19" s="50" t="s">
        <v>163</v>
      </c>
      <c r="Y19" s="51" t="s">
        <v>46</v>
      </c>
      <c r="Z19" s="51" t="s">
        <v>164</v>
      </c>
      <c r="AA19" s="51" t="s">
        <v>284</v>
      </c>
      <c r="AB19" s="51" t="s">
        <v>165</v>
      </c>
      <c r="AC19" s="51" t="s">
        <v>52</v>
      </c>
    </row>
    <row r="20" spans="1:29" ht="17.25" thickTop="1" thickBot="1">
      <c r="A20" s="54" t="e">
        <f>IF(#REF!&lt;&gt;#REF!,#REF!,"")</f>
        <v>#REF!</v>
      </c>
      <c r="B20" s="102">
        <v>12</v>
      </c>
      <c r="C20" s="345" t="s">
        <v>173</v>
      </c>
      <c r="D20" s="341">
        <v>3</v>
      </c>
      <c r="E20" s="80" t="s">
        <v>64</v>
      </c>
      <c r="F20" s="69" t="s">
        <v>167</v>
      </c>
      <c r="G20" s="70" t="s">
        <v>77</v>
      </c>
      <c r="H20" s="53" t="str">
        <f>VLOOKUP(E20,WD!$C$6:$K$77,3,FALSE)</f>
        <v>The Passionate Miami</v>
      </c>
      <c r="I20" s="53" t="s">
        <v>167</v>
      </c>
      <c r="J20" s="53" t="str">
        <f>VLOOKUP(G20,WD!$C$6:$K$77,3,FALSE)</f>
        <v>BUTTERFLY S.</v>
      </c>
      <c r="K20" s="46">
        <v>2</v>
      </c>
      <c r="L20" s="46">
        <f>21+21</f>
        <v>42</v>
      </c>
      <c r="M20" s="46">
        <f>14+9</f>
        <v>23</v>
      </c>
      <c r="N20" s="46">
        <v>0</v>
      </c>
      <c r="O20" s="65" t="s">
        <v>782</v>
      </c>
      <c r="P20" s="51" t="s">
        <v>173</v>
      </c>
      <c r="Q20" s="209">
        <v>1</v>
      </c>
      <c r="R20" s="220" t="s">
        <v>784</v>
      </c>
      <c r="S20" s="220">
        <v>1</v>
      </c>
      <c r="T20" s="220">
        <v>1</v>
      </c>
      <c r="U20" s="220">
        <v>0</v>
      </c>
      <c r="V20" s="220">
        <f>S20*3+T20*1+U20*0</f>
        <v>4</v>
      </c>
      <c r="W20" s="65" t="s">
        <v>174</v>
      </c>
      <c r="X20" s="209">
        <v>1</v>
      </c>
      <c r="Y20" s="220" t="s">
        <v>790</v>
      </c>
      <c r="Z20" s="220"/>
      <c r="AA20" s="220"/>
      <c r="AB20" s="220"/>
      <c r="AC20" s="220">
        <f>Z20*3+AA20*1+AB20*0</f>
        <v>0</v>
      </c>
    </row>
    <row r="21" spans="1:29" ht="17.25" hidden="1" thickTop="1" thickBot="1">
      <c r="A21" s="54" t="e">
        <f>IF(#REF!&lt;&gt;#REF!,#REF!,"")</f>
        <v>#REF!</v>
      </c>
      <c r="B21" s="102">
        <v>13</v>
      </c>
      <c r="C21" s="345" t="s">
        <v>173</v>
      </c>
      <c r="D21" s="341">
        <v>4</v>
      </c>
      <c r="E21" s="80" t="s">
        <v>73</v>
      </c>
      <c r="F21" s="69" t="s">
        <v>167</v>
      </c>
      <c r="G21" s="70" t="s">
        <v>105</v>
      </c>
      <c r="H21" s="53" t="str">
        <f>VLOOKUP(E21,WD!$C$6:$K$77,3,FALSE)</f>
        <v>CYMCASS</v>
      </c>
      <c r="I21" s="53" t="s">
        <v>167</v>
      </c>
      <c r="J21" s="53" t="str">
        <f>VLOOKUP(G21,WD!$C$6:$K$77,3,FALSE)</f>
        <v>C4</v>
      </c>
      <c r="K21" s="46"/>
      <c r="L21" s="46"/>
      <c r="M21" s="46"/>
      <c r="N21" s="46"/>
      <c r="P21" s="51"/>
      <c r="Q21" s="209">
        <v>2</v>
      </c>
      <c r="R21" s="220"/>
      <c r="S21" s="220"/>
      <c r="T21" s="220"/>
      <c r="U21" s="220"/>
      <c r="V21" s="220">
        <f>S21*3+U21*0</f>
        <v>0</v>
      </c>
      <c r="X21" s="209">
        <v>2</v>
      </c>
      <c r="Y21" s="220"/>
      <c r="Z21" s="220"/>
      <c r="AA21" s="220"/>
      <c r="AB21" s="220"/>
      <c r="AC21" s="220">
        <f>Z21*3+AB21*0</f>
        <v>0</v>
      </c>
    </row>
    <row r="22" spans="1:29" ht="17.25" hidden="1" thickTop="1" thickBot="1">
      <c r="A22" s="54" t="e">
        <f>IF(#REF!&lt;&gt;#REF!,#REF!,"")</f>
        <v>#REF!</v>
      </c>
      <c r="B22" s="102">
        <v>14</v>
      </c>
      <c r="C22" s="345" t="s">
        <v>173</v>
      </c>
      <c r="D22" s="341">
        <v>5</v>
      </c>
      <c r="E22" s="80" t="s">
        <v>77</v>
      </c>
      <c r="F22" s="69" t="s">
        <v>167</v>
      </c>
      <c r="G22" s="70" t="s">
        <v>105</v>
      </c>
      <c r="H22" s="53" t="str">
        <f>VLOOKUP(E22,WD!$C$6:$K$77,3,FALSE)</f>
        <v>BUTTERFLY S.</v>
      </c>
      <c r="I22" s="53" t="s">
        <v>167</v>
      </c>
      <c r="J22" s="53" t="str">
        <f>VLOOKUP(G22,WD!$C$6:$K$77,3,FALSE)</f>
        <v>C4</v>
      </c>
      <c r="K22" s="46"/>
      <c r="L22" s="46"/>
      <c r="M22" s="46"/>
      <c r="N22" s="46"/>
      <c r="P22" s="51"/>
      <c r="Q22" s="209">
        <v>3</v>
      </c>
      <c r="R22" s="220"/>
      <c r="S22" s="220"/>
      <c r="T22" s="220"/>
      <c r="U22" s="220"/>
      <c r="V22" s="220">
        <f>S22*3+U22*0</f>
        <v>0</v>
      </c>
      <c r="X22" s="209">
        <v>3</v>
      </c>
      <c r="Y22" s="220"/>
      <c r="Z22" s="220"/>
      <c r="AA22" s="220"/>
      <c r="AB22" s="220"/>
      <c r="AC22" s="220">
        <f>Z22*3+AB22*0</f>
        <v>0</v>
      </c>
    </row>
    <row r="23" spans="1:29" ht="17.25" thickTop="1" thickBot="1">
      <c r="A23" s="54" t="e">
        <f>IF(#REF!&lt;&gt;#REF!,#REF!,"")</f>
        <v>#REF!</v>
      </c>
      <c r="B23" s="102">
        <v>15</v>
      </c>
      <c r="C23" s="342" t="s">
        <v>173</v>
      </c>
      <c r="D23" s="343">
        <v>6</v>
      </c>
      <c r="E23" s="82" t="s">
        <v>64</v>
      </c>
      <c r="F23" s="73" t="s">
        <v>167</v>
      </c>
      <c r="G23" s="74" t="s">
        <v>73</v>
      </c>
      <c r="H23" s="53" t="str">
        <f>VLOOKUP(E23,WD!$C$6:$K$77,3,FALSE)</f>
        <v>The Passionate Miami</v>
      </c>
      <c r="I23" s="53" t="s">
        <v>167</v>
      </c>
      <c r="J23" s="110" t="str">
        <f>VLOOKUP(G23,WD!$C$6:$K$77,3,FALSE)</f>
        <v>CYMCASS</v>
      </c>
      <c r="K23" s="46">
        <v>1</v>
      </c>
      <c r="L23" s="46">
        <f>21+11</f>
        <v>32</v>
      </c>
      <c r="M23" s="46">
        <f>9+21</f>
        <v>30</v>
      </c>
      <c r="N23" s="46">
        <v>1</v>
      </c>
      <c r="O23" s="65" t="s">
        <v>783</v>
      </c>
      <c r="P23" s="51"/>
      <c r="Q23" s="209">
        <v>2</v>
      </c>
      <c r="R23" s="220" t="s">
        <v>785</v>
      </c>
      <c r="S23" s="220">
        <v>1</v>
      </c>
      <c r="T23" s="220">
        <v>0</v>
      </c>
      <c r="U23" s="220">
        <v>1</v>
      </c>
      <c r="V23" s="220">
        <f>S23*3+T23*1+U23*0</f>
        <v>3</v>
      </c>
      <c r="X23" s="535"/>
      <c r="Y23" s="536" t="s">
        <v>797</v>
      </c>
      <c r="Z23" s="536"/>
      <c r="AA23" s="536"/>
      <c r="AB23" s="536"/>
      <c r="AC23" s="536">
        <f>Z23*3+AA23*1+AB23*0</f>
        <v>0</v>
      </c>
    </row>
    <row r="24" spans="1:29" ht="17.25" hidden="1" thickTop="1" thickBot="1">
      <c r="A24" s="54" t="e">
        <f>IF(#REF!&lt;&gt;#REF!,#REF!,"")</f>
        <v>#REF!</v>
      </c>
      <c r="B24" s="102">
        <v>16</v>
      </c>
      <c r="C24" s="340" t="s">
        <v>174</v>
      </c>
      <c r="D24" s="341">
        <v>1</v>
      </c>
      <c r="E24" s="80" t="s">
        <v>65</v>
      </c>
      <c r="F24" s="69" t="s">
        <v>167</v>
      </c>
      <c r="G24" s="70" t="s">
        <v>107</v>
      </c>
      <c r="H24" s="53" t="str">
        <f>VLOOKUP(E24,WD!$C$6:$K$77,3,FALSE)</f>
        <v>LAM&amp;ZOE</v>
      </c>
      <c r="I24" s="53" t="s">
        <v>167</v>
      </c>
      <c r="J24" s="48" t="str">
        <f>VLOOKUP(G24,WD!$C$6:$K$77,3,FALSE)</f>
        <v>D4</v>
      </c>
      <c r="K24" s="46"/>
      <c r="L24" s="46"/>
      <c r="M24" s="46"/>
      <c r="N24" s="46"/>
      <c r="P24" s="92"/>
      <c r="Q24" s="92"/>
      <c r="R24" s="92"/>
      <c r="S24" s="92"/>
      <c r="T24" s="92"/>
      <c r="U24" s="92"/>
      <c r="V24" s="92"/>
      <c r="W24" s="92"/>
      <c r="X24" s="537"/>
      <c r="Y24" s="537"/>
      <c r="Z24" s="538"/>
      <c r="AA24" s="538"/>
      <c r="AB24" s="538"/>
      <c r="AC24" s="538"/>
    </row>
    <row r="25" spans="1:29" ht="17.25" thickTop="1" thickBot="1">
      <c r="A25" s="54" t="e">
        <f>IF(#REF!&lt;&gt;#REF!,#REF!,"")</f>
        <v>#REF!</v>
      </c>
      <c r="B25" s="102">
        <v>17</v>
      </c>
      <c r="C25" s="340" t="s">
        <v>174</v>
      </c>
      <c r="D25" s="341">
        <v>2</v>
      </c>
      <c r="E25" s="80" t="s">
        <v>71</v>
      </c>
      <c r="F25" s="69" t="s">
        <v>167</v>
      </c>
      <c r="G25" s="70" t="s">
        <v>97</v>
      </c>
      <c r="H25" s="53" t="str">
        <f>VLOOKUP(E25,WD!$C$6:$K$77,3,FALSE)</f>
        <v>YSYL</v>
      </c>
      <c r="I25" s="53" t="s">
        <v>167</v>
      </c>
      <c r="J25" s="53" t="str">
        <f>VLOOKUP(G25,WD!$C$6:$K$77,3,FALSE)</f>
        <v>Limit</v>
      </c>
      <c r="K25" s="46">
        <v>0</v>
      </c>
      <c r="L25" s="46">
        <v>0</v>
      </c>
      <c r="M25" s="46">
        <v>42</v>
      </c>
      <c r="N25" s="46">
        <v>2</v>
      </c>
      <c r="O25" s="65" t="s">
        <v>789</v>
      </c>
      <c r="P25" s="92"/>
      <c r="Q25" s="130">
        <v>3</v>
      </c>
      <c r="R25" s="130" t="s">
        <v>786</v>
      </c>
      <c r="S25" s="534">
        <v>0</v>
      </c>
      <c r="T25" s="534">
        <v>1</v>
      </c>
      <c r="U25" s="534">
        <v>1</v>
      </c>
      <c r="V25" s="220">
        <f>S25*3+T25*1+U25*0</f>
        <v>1</v>
      </c>
      <c r="W25" s="92"/>
      <c r="X25" s="539"/>
      <c r="Y25" s="539" t="s">
        <v>798</v>
      </c>
      <c r="Z25" s="532"/>
      <c r="AA25" s="532"/>
      <c r="AB25" s="532"/>
      <c r="AC25" s="536">
        <f>Z25*3+AA25*1+AB25*0</f>
        <v>0</v>
      </c>
    </row>
    <row r="26" spans="1:29" ht="17.25" thickTop="1" thickBot="1">
      <c r="A26" s="54" t="e">
        <f>IF(#REF!&lt;&gt;#REF!,#REF!,"")</f>
        <v>#REF!</v>
      </c>
      <c r="B26" s="102">
        <v>18</v>
      </c>
      <c r="C26" s="340" t="s">
        <v>174</v>
      </c>
      <c r="D26" s="341">
        <v>3</v>
      </c>
      <c r="E26" s="80" t="s">
        <v>65</v>
      </c>
      <c r="F26" s="69" t="s">
        <v>167</v>
      </c>
      <c r="G26" s="70" t="s">
        <v>97</v>
      </c>
      <c r="H26" s="53" t="str">
        <f>VLOOKUP(E26,WD!$C$6:$K$77,3,FALSE)</f>
        <v>LAM&amp;ZOE</v>
      </c>
      <c r="I26" s="53" t="s">
        <v>167</v>
      </c>
      <c r="J26" s="53" t="str">
        <f>VLOOKUP(G26,WD!$C$6:$K$77,3,FALSE)</f>
        <v>Limit</v>
      </c>
      <c r="K26" s="46">
        <v>0</v>
      </c>
      <c r="L26" s="46">
        <v>0</v>
      </c>
      <c r="M26" s="46">
        <v>42</v>
      </c>
      <c r="N26" s="46">
        <v>2</v>
      </c>
      <c r="O26" s="65" t="s">
        <v>787</v>
      </c>
      <c r="P26" s="92"/>
      <c r="Q26" s="393"/>
      <c r="R26" s="393"/>
      <c r="S26" s="393"/>
      <c r="T26" s="393"/>
      <c r="U26" s="393"/>
      <c r="V26" s="393"/>
      <c r="W26" s="393"/>
      <c r="X26" s="393"/>
      <c r="Y26" s="393"/>
      <c r="Z26" s="433"/>
      <c r="AA26" s="433"/>
      <c r="AB26" s="433"/>
      <c r="AC26" s="433"/>
    </row>
    <row r="27" spans="1:29" ht="17.25" hidden="1" thickTop="1" thickBot="1">
      <c r="A27" s="54" t="e">
        <f>IF(#REF!&lt;&gt;#REF!,#REF!,"")</f>
        <v>#REF!</v>
      </c>
      <c r="B27" s="102">
        <v>19</v>
      </c>
      <c r="C27" s="340" t="s">
        <v>174</v>
      </c>
      <c r="D27" s="341">
        <v>4</v>
      </c>
      <c r="E27" s="80" t="s">
        <v>71</v>
      </c>
      <c r="F27" s="69" t="s">
        <v>167</v>
      </c>
      <c r="G27" s="70" t="s">
        <v>107</v>
      </c>
      <c r="H27" s="53" t="str">
        <f>VLOOKUP(E27,WD!$C$6:$K$77,3,FALSE)</f>
        <v>YSYL</v>
      </c>
      <c r="I27" s="53" t="s">
        <v>167</v>
      </c>
      <c r="J27" s="53" t="str">
        <f>VLOOKUP(G27,WD!$C$6:$K$77,3,FALSE)</f>
        <v>D4</v>
      </c>
      <c r="K27" s="46"/>
      <c r="L27" s="46"/>
      <c r="M27" s="46"/>
      <c r="N27" s="46"/>
      <c r="P27" s="92"/>
      <c r="Q27" s="92"/>
      <c r="R27" s="92"/>
      <c r="S27" s="92"/>
      <c r="T27" s="92"/>
      <c r="U27" s="92"/>
      <c r="V27" s="92"/>
      <c r="W27" s="92"/>
      <c r="X27" s="92"/>
      <c r="Y27" s="92"/>
    </row>
    <row r="28" spans="1:29" ht="17.25" hidden="1" thickTop="1" thickBot="1">
      <c r="A28" s="54" t="e">
        <f>IF(#REF!&lt;&gt;#REF!,#REF!,"")</f>
        <v>#REF!</v>
      </c>
      <c r="B28" s="102">
        <v>20</v>
      </c>
      <c r="C28" s="340" t="s">
        <v>174</v>
      </c>
      <c r="D28" s="341">
        <v>5</v>
      </c>
      <c r="E28" s="80" t="s">
        <v>97</v>
      </c>
      <c r="F28" s="69" t="s">
        <v>167</v>
      </c>
      <c r="G28" s="70" t="s">
        <v>107</v>
      </c>
      <c r="H28" s="104" t="str">
        <f>VLOOKUP(E28,WD!$C$6:$K$77,3,FALSE)</f>
        <v>Limit</v>
      </c>
      <c r="I28" s="104" t="s">
        <v>167</v>
      </c>
      <c r="J28" s="104" t="str">
        <f>VLOOKUP(G28,WD!$C$6:$K$77,3,FALSE)</f>
        <v>D4</v>
      </c>
      <c r="K28" s="205"/>
      <c r="L28" s="205"/>
      <c r="M28" s="205"/>
      <c r="N28" s="205"/>
      <c r="P28" s="92"/>
      <c r="Q28" s="50" t="s">
        <v>163</v>
      </c>
      <c r="R28" s="51" t="s">
        <v>46</v>
      </c>
      <c r="S28" s="51" t="s">
        <v>164</v>
      </c>
      <c r="T28" s="51" t="s">
        <v>284</v>
      </c>
      <c r="U28" s="51" t="s">
        <v>165</v>
      </c>
      <c r="V28" s="51" t="s">
        <v>52</v>
      </c>
    </row>
    <row r="29" spans="1:29" ht="17.25" thickTop="1" thickBot="1">
      <c r="A29" s="54" t="e">
        <f>IF(#REF!&lt;&gt;#REF!,#REF!,"")</f>
        <v>#REF!</v>
      </c>
      <c r="B29" s="102">
        <v>21</v>
      </c>
      <c r="C29" s="349" t="s">
        <v>174</v>
      </c>
      <c r="D29" s="343">
        <v>6</v>
      </c>
      <c r="E29" s="82" t="s">
        <v>65</v>
      </c>
      <c r="F29" s="73" t="s">
        <v>167</v>
      </c>
      <c r="G29" s="74" t="s">
        <v>71</v>
      </c>
      <c r="H29" s="53" t="str">
        <f>VLOOKUP(E29,WD!$C$6:$K$77,3,FALSE)</f>
        <v>LAM&amp;ZOE</v>
      </c>
      <c r="I29" s="53" t="s">
        <v>167</v>
      </c>
      <c r="J29" s="115" t="str">
        <f>VLOOKUP(G29,WD!$C$6:$K$77,3,FALSE)</f>
        <v>YSYL</v>
      </c>
      <c r="K29" s="546" t="s">
        <v>781</v>
      </c>
      <c r="L29" s="546" t="s">
        <v>781</v>
      </c>
      <c r="M29" s="546" t="s">
        <v>781</v>
      </c>
      <c r="N29" s="546" t="s">
        <v>781</v>
      </c>
      <c r="O29" s="65" t="s">
        <v>788</v>
      </c>
      <c r="P29" s="92"/>
      <c r="Q29" s="433"/>
      <c r="R29" s="434"/>
      <c r="S29" s="434"/>
      <c r="T29" s="434"/>
      <c r="U29" s="434"/>
      <c r="V29" s="434"/>
    </row>
    <row r="30" spans="1:29" ht="17.25" hidden="1" thickTop="1" thickBot="1">
      <c r="B30" s="102">
        <v>22</v>
      </c>
      <c r="C30" s="345" t="s">
        <v>168</v>
      </c>
      <c r="D30" s="341">
        <v>1</v>
      </c>
      <c r="E30" s="80" t="s">
        <v>66</v>
      </c>
      <c r="F30" s="69" t="s">
        <v>167</v>
      </c>
      <c r="G30" s="70" t="s">
        <v>108</v>
      </c>
      <c r="H30" s="104" t="str">
        <f>VLOOKUP(E30,WD!$C$6:$K$77,3,FALSE)</f>
        <v>Reunion</v>
      </c>
      <c r="I30" s="104" t="s">
        <v>167</v>
      </c>
      <c r="J30" s="120" t="e">
        <f>VLOOKUP(G30,WD!$C$6:$K$77,3,FALSE)</f>
        <v>#N/A</v>
      </c>
      <c r="K30" s="46"/>
      <c r="L30" s="46"/>
      <c r="M30" s="46"/>
      <c r="N30" s="46"/>
      <c r="P30" s="92"/>
      <c r="Q30" s="433"/>
      <c r="R30" s="434"/>
      <c r="S30" s="434"/>
      <c r="T30" s="434"/>
      <c r="U30" s="434"/>
      <c r="V30" s="434"/>
    </row>
    <row r="31" spans="1:29" ht="17.25" thickTop="1" thickBot="1">
      <c r="B31" s="102">
        <v>23</v>
      </c>
      <c r="C31" s="345" t="s">
        <v>168</v>
      </c>
      <c r="D31" s="341">
        <v>2</v>
      </c>
      <c r="E31" s="80" t="s">
        <v>70</v>
      </c>
      <c r="F31" s="69" t="s">
        <v>167</v>
      </c>
      <c r="G31" s="70" t="s">
        <v>99</v>
      </c>
      <c r="H31" s="53" t="str">
        <f>VLOOKUP(E31,WD!$C$6:$K$77,3,FALSE)</f>
        <v>J&amp;M</v>
      </c>
      <c r="I31" s="53" t="s">
        <v>167</v>
      </c>
      <c r="J31" s="115" t="str">
        <f>VLOOKUP(G31,WD!$C$6:$K$77,3,FALSE)</f>
        <v>GLORY</v>
      </c>
      <c r="K31" s="46">
        <v>0</v>
      </c>
      <c r="L31" s="46">
        <v>0</v>
      </c>
      <c r="M31" s="46">
        <v>42</v>
      </c>
      <c r="N31" s="46">
        <v>2</v>
      </c>
      <c r="O31" s="65" t="s">
        <v>791</v>
      </c>
      <c r="P31" s="65" t="s">
        <v>637</v>
      </c>
      <c r="Q31" s="438">
        <v>1</v>
      </c>
      <c r="R31" s="441" t="s">
        <v>796</v>
      </c>
      <c r="S31" s="441">
        <v>1</v>
      </c>
      <c r="T31" s="441">
        <v>0</v>
      </c>
      <c r="U31" s="441">
        <v>0</v>
      </c>
      <c r="V31" s="220">
        <f>S31*3+T31*1+U31*0</f>
        <v>3</v>
      </c>
      <c r="W31" s="65" t="s">
        <v>638</v>
      </c>
      <c r="X31" s="435">
        <v>1</v>
      </c>
      <c r="Y31" s="435" t="s">
        <v>831</v>
      </c>
      <c r="Z31" s="545">
        <v>0</v>
      </c>
      <c r="AA31" s="545">
        <v>1</v>
      </c>
      <c r="AB31" s="545">
        <v>0</v>
      </c>
      <c r="AC31" s="220">
        <f>Z31*3+AA31*1+AB31*0</f>
        <v>1</v>
      </c>
    </row>
    <row r="32" spans="1:29" ht="17.25" thickTop="1" thickBot="1">
      <c r="B32" s="102">
        <v>24</v>
      </c>
      <c r="C32" s="345" t="s">
        <v>168</v>
      </c>
      <c r="D32" s="341">
        <v>3</v>
      </c>
      <c r="E32" s="80" t="s">
        <v>66</v>
      </c>
      <c r="F32" s="69" t="s">
        <v>167</v>
      </c>
      <c r="G32" s="70" t="s">
        <v>99</v>
      </c>
      <c r="H32" s="110" t="str">
        <f>VLOOKUP(E32,WD!$C$6:$K$77,3,FALSE)</f>
        <v>Reunion</v>
      </c>
      <c r="I32" s="110" t="s">
        <v>167</v>
      </c>
      <c r="J32" s="121" t="str">
        <f>VLOOKUP(G32,WD!$C$6:$K$77,3,FALSE)</f>
        <v>GLORY</v>
      </c>
      <c r="K32" s="348">
        <v>0</v>
      </c>
      <c r="L32" s="348">
        <f>21+21</f>
        <v>42</v>
      </c>
      <c r="M32" s="348">
        <f>7+17</f>
        <v>24</v>
      </c>
      <c r="N32" s="348">
        <v>2</v>
      </c>
      <c r="O32" s="65" t="s">
        <v>917</v>
      </c>
      <c r="P32" s="92"/>
      <c r="Q32" s="435">
        <v>2</v>
      </c>
      <c r="R32" s="439" t="s">
        <v>795</v>
      </c>
      <c r="S32" s="439">
        <v>0</v>
      </c>
      <c r="T32" s="439">
        <v>0</v>
      </c>
      <c r="U32" s="439">
        <v>1</v>
      </c>
      <c r="V32" s="220">
        <f>S32*3+T32*1+U32*0</f>
        <v>0</v>
      </c>
      <c r="X32" s="435">
        <v>2</v>
      </c>
      <c r="Y32" s="435" t="s">
        <v>800</v>
      </c>
      <c r="Z32" s="545">
        <v>0</v>
      </c>
      <c r="AA32" s="545">
        <v>1</v>
      </c>
      <c r="AB32" s="545">
        <v>0</v>
      </c>
      <c r="AC32" s="220">
        <f>Z32*3+AA32*1+AB32*0</f>
        <v>1</v>
      </c>
    </row>
    <row r="33" spans="2:29" ht="16.5" hidden="1" thickTop="1">
      <c r="B33" s="102">
        <v>25</v>
      </c>
      <c r="C33" s="345" t="s">
        <v>168</v>
      </c>
      <c r="D33" s="341">
        <v>4</v>
      </c>
      <c r="E33" s="80" t="s">
        <v>70</v>
      </c>
      <c r="F33" s="69" t="s">
        <v>167</v>
      </c>
      <c r="G33" s="70" t="s">
        <v>108</v>
      </c>
      <c r="H33" s="48" t="str">
        <f>VLOOKUP(E33,WD!$C$6:$K$77,3,FALSE)</f>
        <v>J&amp;M</v>
      </c>
      <c r="I33" s="48" t="s">
        <v>167</v>
      </c>
      <c r="J33" s="49" t="e">
        <f>VLOOKUP(G33,WD!$C$6:$K$77,3,FALSE)</f>
        <v>#N/A</v>
      </c>
      <c r="K33" s="348"/>
      <c r="L33" s="348"/>
      <c r="M33" s="348"/>
      <c r="N33" s="348"/>
      <c r="P33" s="92"/>
      <c r="Q33" s="435"/>
      <c r="R33" s="435"/>
      <c r="S33" s="435"/>
      <c r="T33" s="435"/>
      <c r="U33" s="435"/>
      <c r="V33" s="220">
        <f>S33*3+T33*1+U33*0</f>
        <v>0</v>
      </c>
      <c r="X33" s="435"/>
      <c r="Y33" s="435"/>
      <c r="Z33" s="435"/>
      <c r="AA33" s="435"/>
      <c r="AB33" s="435"/>
      <c r="AC33" s="435"/>
    </row>
    <row r="34" spans="2:29" ht="16.5" hidden="1" thickTop="1">
      <c r="B34" s="102">
        <v>26</v>
      </c>
      <c r="C34" s="345" t="s">
        <v>168</v>
      </c>
      <c r="D34" s="341">
        <v>5</v>
      </c>
      <c r="E34" s="80" t="s">
        <v>99</v>
      </c>
      <c r="F34" s="69" t="s">
        <v>167</v>
      </c>
      <c r="G34" s="70" t="s">
        <v>108</v>
      </c>
      <c r="H34" s="53" t="str">
        <f>VLOOKUP(E34,WD!$C$6:$K$77,3,FALSE)</f>
        <v>GLORY</v>
      </c>
      <c r="I34" s="53" t="s">
        <v>167</v>
      </c>
      <c r="J34" s="115" t="e">
        <f>VLOOKUP(G34,WD!$C$6:$K$77,3,FALSE)</f>
        <v>#N/A</v>
      </c>
      <c r="K34" s="348"/>
      <c r="L34" s="348"/>
      <c r="M34" s="348"/>
      <c r="N34" s="348"/>
      <c r="P34" s="92"/>
      <c r="Q34" s="435"/>
      <c r="R34" s="435"/>
      <c r="S34" s="435"/>
      <c r="T34" s="435"/>
      <c r="U34" s="435"/>
      <c r="V34" s="220">
        <f>S34*3+T34*1+U34*0</f>
        <v>0</v>
      </c>
      <c r="X34" s="435"/>
      <c r="Y34" s="435"/>
      <c r="Z34" s="435"/>
      <c r="AA34" s="435"/>
      <c r="AB34" s="435"/>
      <c r="AC34" s="435"/>
    </row>
    <row r="35" spans="2:29" ht="17.25" thickTop="1" thickBot="1">
      <c r="B35" s="102">
        <v>27</v>
      </c>
      <c r="C35" s="349" t="s">
        <v>168</v>
      </c>
      <c r="D35" s="343">
        <v>6</v>
      </c>
      <c r="E35" s="82" t="s">
        <v>66</v>
      </c>
      <c r="F35" s="73" t="s">
        <v>167</v>
      </c>
      <c r="G35" s="74" t="s">
        <v>70</v>
      </c>
      <c r="H35" s="112" t="str">
        <f>VLOOKUP(E35,WD!$C$6:$K$77,3,FALSE)</f>
        <v>Reunion</v>
      </c>
      <c r="I35" s="112" t="s">
        <v>167</v>
      </c>
      <c r="J35" s="113" t="str">
        <f>VLOOKUP(G35,WD!$C$6:$K$77,3,FALSE)</f>
        <v>J&amp;M</v>
      </c>
      <c r="K35" s="46">
        <v>2</v>
      </c>
      <c r="L35" s="46">
        <v>42</v>
      </c>
      <c r="M35" s="46">
        <v>0</v>
      </c>
      <c r="N35" s="46">
        <v>0</v>
      </c>
      <c r="O35" s="65" t="s">
        <v>791</v>
      </c>
      <c r="Q35" s="532"/>
      <c r="R35" s="532" t="s">
        <v>799</v>
      </c>
      <c r="S35" s="532"/>
      <c r="T35" s="532"/>
      <c r="U35" s="532"/>
      <c r="V35" s="536">
        <f>S35*3+T35*1+U35*0</f>
        <v>0</v>
      </c>
      <c r="X35" s="540"/>
      <c r="Y35" s="540" t="s">
        <v>801</v>
      </c>
      <c r="Z35" s="540"/>
      <c r="AA35" s="540"/>
      <c r="AB35" s="540"/>
      <c r="AC35" s="536">
        <f>Z35*3+AA35*1+AB35*0</f>
        <v>0</v>
      </c>
    </row>
    <row r="36" spans="2:29" ht="17.25" thickTop="1" thickBot="1">
      <c r="B36" s="103">
        <v>31</v>
      </c>
      <c r="C36" s="345" t="s">
        <v>169</v>
      </c>
      <c r="D36" s="341">
        <v>1</v>
      </c>
      <c r="E36" s="59" t="s">
        <v>67</v>
      </c>
      <c r="F36" s="62" t="s">
        <v>167</v>
      </c>
      <c r="G36" s="63" t="s">
        <v>109</v>
      </c>
      <c r="H36" s="53" t="str">
        <f>VLOOKUP(E36,WD!$C$6:$K$77,3,FALSE)</f>
        <v>求奇</v>
      </c>
      <c r="I36" s="53" t="s">
        <v>167</v>
      </c>
      <c r="J36" s="53" t="str">
        <f>VLOOKUP(G36,WD!$C$6:$K$77,3,FALSE)</f>
        <v>VANICA</v>
      </c>
      <c r="K36" s="46">
        <v>2</v>
      </c>
      <c r="L36" s="46">
        <v>42</v>
      </c>
      <c r="M36" s="46">
        <v>0</v>
      </c>
      <c r="N36" s="46">
        <v>0</v>
      </c>
      <c r="O36" s="65" t="s">
        <v>832</v>
      </c>
      <c r="Q36" s="433"/>
      <c r="R36" s="433"/>
      <c r="S36" s="433"/>
      <c r="T36" s="433"/>
      <c r="U36" s="433"/>
      <c r="V36" s="433"/>
      <c r="X36" s="532"/>
      <c r="Y36" s="532" t="s">
        <v>833</v>
      </c>
      <c r="Z36" s="532"/>
      <c r="AA36" s="532"/>
      <c r="AB36" s="532"/>
      <c r="AC36" s="536">
        <f>Z36*3+AA36*1+AB36*0</f>
        <v>0</v>
      </c>
    </row>
    <row r="37" spans="2:29" ht="16.5" thickTop="1">
      <c r="B37" s="103">
        <v>16</v>
      </c>
      <c r="C37" s="345" t="s">
        <v>169</v>
      </c>
      <c r="D37" s="341">
        <v>2</v>
      </c>
      <c r="E37" s="80" t="s">
        <v>91</v>
      </c>
      <c r="F37" s="69" t="s">
        <v>167</v>
      </c>
      <c r="G37" s="520" t="s">
        <v>78</v>
      </c>
      <c r="H37" s="53" t="str">
        <f>VLOOKUP(E37,WD!$C$6:$K$77,3,FALSE)</f>
        <v>CKYK</v>
      </c>
      <c r="I37" s="53" t="s">
        <v>167</v>
      </c>
      <c r="J37" s="53" t="str">
        <f>VLOOKUP(G37,WD!$C$6:$K$77,3,FALSE)</f>
        <v>麥糖</v>
      </c>
      <c r="K37" s="46">
        <v>0</v>
      </c>
      <c r="L37" s="46">
        <v>0</v>
      </c>
      <c r="M37" s="46">
        <v>42</v>
      </c>
      <c r="N37" s="46">
        <v>2</v>
      </c>
      <c r="O37" s="65" t="s">
        <v>793</v>
      </c>
      <c r="X37" s="433"/>
      <c r="Y37" s="433"/>
      <c r="Z37" s="433"/>
      <c r="AA37" s="433"/>
      <c r="AB37" s="433"/>
      <c r="AC37" s="433"/>
    </row>
    <row r="38" spans="2:29" ht="16.5" thickBot="1">
      <c r="B38" s="103">
        <v>17</v>
      </c>
      <c r="C38" s="345" t="s">
        <v>169</v>
      </c>
      <c r="D38" s="341">
        <v>3</v>
      </c>
      <c r="E38" s="80" t="s">
        <v>67</v>
      </c>
      <c r="F38" s="69" t="s">
        <v>167</v>
      </c>
      <c r="G38" s="520" t="s">
        <v>78</v>
      </c>
      <c r="H38" s="117" t="str">
        <f>VLOOKUP(E38,WD!$C$6:$K$77,3,FALSE)</f>
        <v>求奇</v>
      </c>
      <c r="I38" s="111" t="s">
        <v>167</v>
      </c>
      <c r="J38" s="114" t="str">
        <f>VLOOKUP(G38,WD!$C$6:$K$77,3,FALSE)</f>
        <v>麥糖</v>
      </c>
      <c r="K38" s="46">
        <v>0</v>
      </c>
      <c r="L38" s="46">
        <v>0</v>
      </c>
      <c r="M38" s="46">
        <v>42</v>
      </c>
      <c r="N38" s="46">
        <v>2</v>
      </c>
      <c r="O38" s="65" t="s">
        <v>832</v>
      </c>
    </row>
    <row r="39" spans="2:29" ht="17.25" thickTop="1" thickBot="1">
      <c r="B39" s="103">
        <v>34</v>
      </c>
      <c r="C39" s="345" t="s">
        <v>169</v>
      </c>
      <c r="D39" s="341">
        <v>4</v>
      </c>
      <c r="E39" s="80" t="s">
        <v>91</v>
      </c>
      <c r="F39" s="69" t="s">
        <v>167</v>
      </c>
      <c r="G39" s="520" t="s">
        <v>109</v>
      </c>
      <c r="H39" s="118" t="str">
        <f>VLOOKUP(E39,WD!$C$6:$K$77,3,FALSE)</f>
        <v>CKYK</v>
      </c>
      <c r="I39" s="48" t="s">
        <v>167</v>
      </c>
      <c r="J39" s="49" t="str">
        <f>VLOOKUP(G39,WD!$C$6:$K$77,3,FALSE)</f>
        <v>VANICA</v>
      </c>
      <c r="K39" s="46">
        <v>0</v>
      </c>
      <c r="L39" s="46">
        <v>0</v>
      </c>
      <c r="M39" s="46">
        <v>42</v>
      </c>
      <c r="N39" s="46">
        <v>2</v>
      </c>
      <c r="O39" s="65" t="s">
        <v>792</v>
      </c>
    </row>
    <row r="40" spans="2:29" ht="16.5" thickTop="1">
      <c r="B40" s="103">
        <v>35</v>
      </c>
      <c r="C40" s="345" t="s">
        <v>169</v>
      </c>
      <c r="D40" s="341">
        <v>5</v>
      </c>
      <c r="E40" s="80" t="s">
        <v>78</v>
      </c>
      <c r="F40" s="69" t="s">
        <v>167</v>
      </c>
      <c r="G40" s="520" t="s">
        <v>109</v>
      </c>
      <c r="H40" s="64" t="str">
        <f>VLOOKUP(E40,WD!$C$6:$K$77,3,FALSE)</f>
        <v>麥糖</v>
      </c>
      <c r="I40" s="53" t="s">
        <v>167</v>
      </c>
      <c r="J40" s="115" t="str">
        <f>VLOOKUP(G40,WD!$C$6:$K$77,3,FALSE)</f>
        <v>VANICA</v>
      </c>
      <c r="K40" s="348">
        <v>1</v>
      </c>
      <c r="L40" s="348">
        <f>21+21</f>
        <v>42</v>
      </c>
      <c r="M40" s="348">
        <f>17+23</f>
        <v>40</v>
      </c>
      <c r="N40" s="348">
        <v>1</v>
      </c>
      <c r="O40" s="65" t="s">
        <v>794</v>
      </c>
    </row>
    <row r="41" spans="2:29">
      <c r="B41" s="103">
        <v>18</v>
      </c>
      <c r="C41" s="342" t="s">
        <v>169</v>
      </c>
      <c r="D41" s="343">
        <v>6</v>
      </c>
      <c r="E41" s="82" t="s">
        <v>67</v>
      </c>
      <c r="F41" s="73" t="s">
        <v>167</v>
      </c>
      <c r="G41" s="521" t="s">
        <v>91</v>
      </c>
      <c r="H41" s="119" t="str">
        <f>VLOOKUP(E41,WD!$C$6:$K$77,3,FALSE)</f>
        <v>求奇</v>
      </c>
      <c r="I41" s="109" t="s">
        <v>167</v>
      </c>
      <c r="J41" s="116" t="str">
        <f>VLOOKUP(G41,WD!$C$6:$K$77,3,FALSE)</f>
        <v>CKYK</v>
      </c>
      <c r="K41" s="46" t="s">
        <v>781</v>
      </c>
      <c r="L41" s="46" t="s">
        <v>781</v>
      </c>
      <c r="M41" s="46" t="s">
        <v>781</v>
      </c>
      <c r="N41" s="46" t="s">
        <v>781</v>
      </c>
      <c r="O41" s="65" t="s">
        <v>788</v>
      </c>
    </row>
  </sheetData>
  <sheetProtection selectLockedCells="1" selectUnlockedCells="1"/>
  <mergeCells count="1">
    <mergeCell ref="H3:J3"/>
  </mergeCells>
  <phoneticPr fontId="49" type="noConversion"/>
  <printOptions horizontalCentered="1" verticalCentered="1"/>
  <pageMargins left="0.74791666666666667" right="0.74791666666666667" top="0.52013888888888893" bottom="0.54027777777777775" header="0.51180555555555551" footer="0.51180555555555551"/>
  <pageSetup paperSize="9" scale="50" firstPageNumber="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194"/>
  <sheetViews>
    <sheetView topLeftCell="A150" zoomScale="70" zoomScaleNormal="70" workbookViewId="0">
      <selection activeCell="J176" sqref="J176:O187"/>
    </sheetView>
  </sheetViews>
  <sheetFormatPr defaultColWidth="7.44140625" defaultRowHeight="15.75"/>
  <cols>
    <col min="1" max="1" width="7.44140625" style="136"/>
    <col min="2" max="2" width="11.33203125" style="136" customWidth="1"/>
    <col min="3" max="3" width="7.44140625" style="135"/>
    <col min="4" max="4" width="10.109375" style="135" customWidth="1"/>
    <col min="5" max="5" width="9.6640625" style="135" customWidth="1"/>
    <col min="6" max="6" width="11.109375" style="135" customWidth="1"/>
    <col min="7" max="7" width="11.21875" style="135" bestFit="1" customWidth="1"/>
    <col min="8" max="8" width="10.6640625" style="135" customWidth="1"/>
    <col min="9" max="9" width="10.6640625" style="136" customWidth="1"/>
    <col min="10" max="10" width="13.109375" style="136" customWidth="1"/>
    <col min="11" max="11" width="7.44140625" style="136"/>
    <col min="12" max="13" width="7.44140625" style="135"/>
    <col min="14" max="14" width="7.44140625" style="136"/>
    <col min="15" max="15" width="11.21875" style="135" bestFit="1" customWidth="1"/>
    <col min="16" max="16" width="10.6640625" style="135" customWidth="1"/>
    <col min="17" max="16384" width="7.44140625" style="136"/>
  </cols>
  <sheetData>
    <row r="1" spans="2:15" ht="16.5" customHeight="1">
      <c r="B1" s="132"/>
      <c r="C1" s="134"/>
      <c r="D1" s="134"/>
      <c r="E1" s="134"/>
      <c r="G1" s="133"/>
      <c r="H1" s="154" t="s">
        <v>765</v>
      </c>
      <c r="I1" s="133"/>
      <c r="J1" s="133"/>
    </row>
    <row r="2" spans="2:15" ht="16.5" customHeight="1">
      <c r="C2" s="134"/>
      <c r="D2" s="134"/>
      <c r="E2" s="134"/>
      <c r="G2" s="133"/>
      <c r="H2" s="133" t="s">
        <v>288</v>
      </c>
      <c r="I2" s="133"/>
      <c r="J2" s="133"/>
    </row>
    <row r="3" spans="2:15" ht="16.5" customHeight="1">
      <c r="C3" s="134"/>
      <c r="D3" s="134"/>
      <c r="E3" s="134"/>
      <c r="F3" s="133"/>
      <c r="G3" s="133"/>
      <c r="H3" s="133"/>
      <c r="I3" s="133"/>
      <c r="J3" s="133"/>
    </row>
    <row r="4" spans="2:15" ht="16.5" customHeight="1">
      <c r="C4" s="134"/>
      <c r="D4" s="134"/>
      <c r="E4" s="386"/>
      <c r="F4" s="387"/>
      <c r="G4" s="388"/>
      <c r="H4" s="137" t="s">
        <v>276</v>
      </c>
      <c r="I4" s="388"/>
      <c r="J4" s="388"/>
    </row>
    <row r="5" spans="2:15" ht="16.5" customHeight="1">
      <c r="E5" s="389"/>
      <c r="F5" s="387"/>
      <c r="G5" s="389"/>
      <c r="H5" s="137" t="s">
        <v>287</v>
      </c>
      <c r="I5" s="387"/>
      <c r="J5" s="387"/>
    </row>
    <row r="6" spans="2:15">
      <c r="B6" s="135"/>
      <c r="I6" s="135"/>
      <c r="J6" s="135"/>
    </row>
    <row r="7" spans="2:15" ht="17.25" thickBot="1">
      <c r="B7" s="135"/>
      <c r="E7" s="138" t="s">
        <v>759</v>
      </c>
      <c r="F7" s="138"/>
      <c r="I7" s="135"/>
      <c r="J7" s="135"/>
      <c r="L7" s="138" t="s">
        <v>760</v>
      </c>
      <c r="M7" s="138"/>
      <c r="N7" s="138"/>
    </row>
    <row r="8" spans="2:15" ht="16.5" thickTop="1">
      <c r="B8" s="135"/>
      <c r="C8" s="139" t="s">
        <v>141</v>
      </c>
      <c r="D8" s="522" t="s">
        <v>277</v>
      </c>
      <c r="E8" s="523" t="s">
        <v>766</v>
      </c>
      <c r="F8" s="523" t="s">
        <v>767</v>
      </c>
      <c r="G8" s="524"/>
      <c r="I8" s="135"/>
      <c r="J8" s="552" t="s">
        <v>278</v>
      </c>
      <c r="K8" s="552" t="s">
        <v>279</v>
      </c>
      <c r="L8" s="649" t="s">
        <v>309</v>
      </c>
      <c r="M8" s="650"/>
      <c r="N8" s="650"/>
      <c r="O8" s="651"/>
    </row>
    <row r="9" spans="2:15">
      <c r="B9" s="135"/>
      <c r="C9" s="141"/>
      <c r="D9" s="525" t="s">
        <v>280</v>
      </c>
      <c r="E9" s="526" t="s">
        <v>768</v>
      </c>
      <c r="F9" s="526" t="s">
        <v>300</v>
      </c>
      <c r="G9" s="527"/>
      <c r="I9" s="135"/>
      <c r="J9" s="553" t="s">
        <v>298</v>
      </c>
      <c r="K9" s="553" t="s">
        <v>299</v>
      </c>
      <c r="L9" s="554" t="s">
        <v>166</v>
      </c>
      <c r="M9" s="554" t="s">
        <v>172</v>
      </c>
      <c r="N9" s="555"/>
      <c r="O9" s="554"/>
    </row>
    <row r="10" spans="2:15">
      <c r="B10" s="143"/>
      <c r="C10" s="141"/>
      <c r="D10" s="525" t="s">
        <v>282</v>
      </c>
      <c r="E10" s="525" t="s">
        <v>281</v>
      </c>
      <c r="F10" s="525" t="s">
        <v>769</v>
      </c>
      <c r="G10" s="527"/>
      <c r="I10" s="135"/>
      <c r="J10" s="556">
        <v>0.375</v>
      </c>
      <c r="K10" s="554">
        <v>1</v>
      </c>
      <c r="L10" s="557" t="s">
        <v>649</v>
      </c>
      <c r="M10" s="558" t="s">
        <v>653</v>
      </c>
      <c r="N10" s="559"/>
      <c r="O10" s="557"/>
    </row>
    <row r="11" spans="2:15" ht="16.5" thickBot="1">
      <c r="B11" s="135"/>
      <c r="C11" s="145"/>
      <c r="D11" s="528" t="s">
        <v>301</v>
      </c>
      <c r="E11" s="529" t="s">
        <v>156</v>
      </c>
      <c r="F11" s="529" t="s">
        <v>770</v>
      </c>
      <c r="G11" s="530"/>
      <c r="I11" s="135"/>
      <c r="J11" s="556">
        <v>0.3888888888888889</v>
      </c>
      <c r="K11" s="554">
        <v>2</v>
      </c>
      <c r="L11" s="557" t="s">
        <v>650</v>
      </c>
      <c r="M11" s="557" t="s">
        <v>656</v>
      </c>
      <c r="N11" s="557"/>
      <c r="O11" s="560"/>
    </row>
    <row r="12" spans="2:15" ht="16.5" thickTop="1">
      <c r="B12" s="135"/>
      <c r="I12" s="135"/>
      <c r="J12" s="556">
        <v>0.40277777777777801</v>
      </c>
      <c r="K12" s="554">
        <v>3</v>
      </c>
      <c r="L12" s="557" t="s">
        <v>652</v>
      </c>
      <c r="M12" s="560" t="s">
        <v>654</v>
      </c>
      <c r="N12" s="557"/>
      <c r="O12" s="560"/>
    </row>
    <row r="13" spans="2:15">
      <c r="B13" s="135"/>
      <c r="I13" s="135"/>
      <c r="J13" s="556">
        <v>0.41666666666666702</v>
      </c>
      <c r="K13" s="552">
        <v>4</v>
      </c>
      <c r="L13" s="552" t="s">
        <v>651</v>
      </c>
      <c r="M13" s="557" t="s">
        <v>657</v>
      </c>
      <c r="N13" s="557"/>
      <c r="O13" s="560"/>
    </row>
    <row r="14" spans="2:15">
      <c r="B14" s="135"/>
      <c r="F14" s="136"/>
      <c r="I14" s="135"/>
      <c r="J14" s="561">
        <v>0.43055555555555558</v>
      </c>
      <c r="K14" s="554">
        <v>5</v>
      </c>
      <c r="L14" s="554" t="s">
        <v>648</v>
      </c>
      <c r="M14" s="560" t="s">
        <v>655</v>
      </c>
      <c r="N14" s="557"/>
      <c r="O14" s="560"/>
    </row>
    <row r="15" spans="2:15" ht="17.25" customHeight="1">
      <c r="B15" s="552" t="s">
        <v>278</v>
      </c>
      <c r="C15" s="552" t="s">
        <v>279</v>
      </c>
      <c r="D15" s="649" t="s">
        <v>309</v>
      </c>
      <c r="E15" s="650"/>
      <c r="F15" s="650"/>
      <c r="G15" s="651"/>
      <c r="I15" s="135"/>
      <c r="J15" s="556">
        <v>0.44444444444444442</v>
      </c>
      <c r="K15" s="554">
        <v>6</v>
      </c>
      <c r="L15" s="557" t="s">
        <v>658</v>
      </c>
      <c r="M15" s="562" t="s">
        <v>659</v>
      </c>
      <c r="N15" s="557"/>
      <c r="O15" s="560"/>
    </row>
    <row r="16" spans="2:15">
      <c r="B16" s="553" t="s">
        <v>298</v>
      </c>
      <c r="C16" s="553" t="s">
        <v>299</v>
      </c>
      <c r="D16" s="554" t="s">
        <v>166</v>
      </c>
      <c r="E16" s="554" t="s">
        <v>172</v>
      </c>
      <c r="F16" s="555"/>
      <c r="G16" s="554"/>
      <c r="I16" s="135"/>
      <c r="J16" s="660" t="s">
        <v>283</v>
      </c>
      <c r="K16" s="661"/>
      <c r="L16" s="661"/>
      <c r="M16" s="661"/>
      <c r="N16" s="661"/>
      <c r="O16" s="662"/>
    </row>
    <row r="17" spans="2:15">
      <c r="B17" s="561">
        <v>0.58333333333333337</v>
      </c>
      <c r="C17" s="554">
        <v>1</v>
      </c>
      <c r="D17" s="557" t="s">
        <v>668</v>
      </c>
      <c r="E17" s="557" t="s">
        <v>669</v>
      </c>
      <c r="F17" s="557"/>
      <c r="G17" s="557"/>
      <c r="I17" s="135"/>
      <c r="J17" s="561">
        <v>0.58333333333333337</v>
      </c>
      <c r="K17" s="554">
        <v>7</v>
      </c>
      <c r="L17" s="557" t="s">
        <v>660</v>
      </c>
      <c r="M17" s="557" t="s">
        <v>661</v>
      </c>
      <c r="N17" s="557"/>
      <c r="O17" s="560"/>
    </row>
    <row r="18" spans="2:15">
      <c r="B18" s="561">
        <v>0.59722222222222221</v>
      </c>
      <c r="C18" s="554">
        <v>2</v>
      </c>
      <c r="D18" s="557" t="s">
        <v>633</v>
      </c>
      <c r="E18" s="557" t="s">
        <v>624</v>
      </c>
      <c r="F18" s="557"/>
      <c r="G18" s="557"/>
      <c r="I18" s="135"/>
      <c r="J18" s="561">
        <v>0.59722222222222221</v>
      </c>
      <c r="K18" s="554">
        <v>8</v>
      </c>
      <c r="L18" s="665" t="s">
        <v>662</v>
      </c>
      <c r="M18" s="666"/>
      <c r="N18" s="557"/>
      <c r="O18" s="560"/>
    </row>
    <row r="19" spans="2:15">
      <c r="B19" s="561">
        <v>0.61111111111111105</v>
      </c>
      <c r="C19" s="554">
        <v>3</v>
      </c>
      <c r="D19" s="557" t="s">
        <v>670</v>
      </c>
      <c r="E19" s="557" t="s">
        <v>671</v>
      </c>
      <c r="F19" s="554"/>
      <c r="G19" s="554"/>
      <c r="I19" s="135"/>
      <c r="J19" s="561">
        <v>0.61111111111111105</v>
      </c>
      <c r="K19" s="554">
        <v>9</v>
      </c>
      <c r="L19" s="554" t="s">
        <v>665</v>
      </c>
      <c r="M19" s="557" t="s">
        <v>772</v>
      </c>
      <c r="N19" s="554"/>
      <c r="O19" s="554"/>
    </row>
    <row r="20" spans="2:15">
      <c r="B20" s="561">
        <v>0.625</v>
      </c>
      <c r="C20" s="554">
        <v>4</v>
      </c>
      <c r="D20" s="557" t="s">
        <v>625</v>
      </c>
      <c r="E20" s="557" t="s">
        <v>248</v>
      </c>
      <c r="F20" s="554"/>
      <c r="G20" s="554"/>
      <c r="I20" s="135"/>
      <c r="J20" s="561">
        <v>0.625</v>
      </c>
      <c r="K20" s="554">
        <v>10</v>
      </c>
      <c r="L20" s="665" t="s">
        <v>663</v>
      </c>
      <c r="M20" s="666"/>
      <c r="N20" s="554"/>
      <c r="O20" s="554"/>
    </row>
    <row r="21" spans="2:15">
      <c r="B21" s="561">
        <v>0.63888888888888895</v>
      </c>
      <c r="C21" s="554">
        <v>5</v>
      </c>
      <c r="D21" s="563" t="s">
        <v>672</v>
      </c>
      <c r="E21" s="557" t="s">
        <v>673</v>
      </c>
      <c r="F21" s="554"/>
      <c r="G21" s="554"/>
      <c r="I21" s="135"/>
      <c r="J21" s="561">
        <v>0.63888888888888895</v>
      </c>
      <c r="K21" s="552">
        <v>11</v>
      </c>
      <c r="L21" s="563" t="s">
        <v>666</v>
      </c>
      <c r="M21" s="563" t="s">
        <v>667</v>
      </c>
      <c r="N21" s="552"/>
      <c r="O21" s="552"/>
    </row>
    <row r="22" spans="2:15">
      <c r="B22" s="561"/>
      <c r="C22" s="564"/>
      <c r="D22" s="565"/>
      <c r="E22" s="560"/>
      <c r="F22" s="554"/>
      <c r="G22" s="554"/>
      <c r="I22" s="135"/>
      <c r="J22" s="566">
        <v>0.65277777777777779</v>
      </c>
      <c r="K22" s="565">
        <v>12</v>
      </c>
      <c r="L22" s="664" t="s">
        <v>664</v>
      </c>
      <c r="M22" s="664"/>
      <c r="N22" s="567"/>
      <c r="O22" s="565"/>
    </row>
    <row r="23" spans="2:15">
      <c r="B23" s="143"/>
      <c r="D23" s="91"/>
      <c r="E23" s="91"/>
      <c r="I23" s="135"/>
      <c r="J23" s="135"/>
      <c r="L23" s="136"/>
      <c r="M23" s="136"/>
    </row>
    <row r="24" spans="2:15">
      <c r="B24" s="143"/>
      <c r="D24" s="91"/>
      <c r="E24" s="91"/>
      <c r="I24" s="135"/>
      <c r="J24" s="135"/>
      <c r="L24" s="136"/>
      <c r="M24" s="136"/>
    </row>
    <row r="25" spans="2:15" ht="17.25" thickBot="1">
      <c r="B25" s="135"/>
      <c r="E25" s="138" t="s">
        <v>761</v>
      </c>
      <c r="F25" s="138"/>
      <c r="J25" s="135"/>
      <c r="L25" s="138" t="s">
        <v>762</v>
      </c>
      <c r="M25" s="138"/>
      <c r="N25" s="138"/>
    </row>
    <row r="26" spans="2:15" ht="16.5" thickTop="1">
      <c r="B26" s="135"/>
      <c r="C26" s="139" t="s">
        <v>141</v>
      </c>
      <c r="D26" s="522" t="s">
        <v>277</v>
      </c>
      <c r="E26" s="523" t="s">
        <v>766</v>
      </c>
      <c r="F26" s="523" t="s">
        <v>767</v>
      </c>
      <c r="G26" s="524"/>
      <c r="I26" s="135"/>
      <c r="J26" s="552" t="s">
        <v>278</v>
      </c>
      <c r="K26" s="552" t="s">
        <v>279</v>
      </c>
      <c r="L26" s="657" t="s">
        <v>343</v>
      </c>
      <c r="M26" s="658"/>
      <c r="N26" s="658"/>
      <c r="O26" s="659"/>
    </row>
    <row r="27" spans="2:15">
      <c r="B27" s="135"/>
      <c r="C27" s="141"/>
      <c r="D27" s="525" t="s">
        <v>280</v>
      </c>
      <c r="E27" s="526" t="s">
        <v>768</v>
      </c>
      <c r="F27" s="526" t="s">
        <v>300</v>
      </c>
      <c r="G27" s="527"/>
      <c r="I27" s="135"/>
      <c r="J27" s="553" t="s">
        <v>298</v>
      </c>
      <c r="K27" s="553" t="s">
        <v>299</v>
      </c>
      <c r="L27" s="554" t="s">
        <v>166</v>
      </c>
      <c r="M27" s="554"/>
      <c r="N27" s="555"/>
      <c r="O27" s="554"/>
    </row>
    <row r="28" spans="2:15">
      <c r="B28" s="143"/>
      <c r="C28" s="141"/>
      <c r="D28" s="525" t="s">
        <v>282</v>
      </c>
      <c r="E28" s="525" t="s">
        <v>281</v>
      </c>
      <c r="F28" s="525" t="s">
        <v>769</v>
      </c>
      <c r="G28" s="527"/>
      <c r="I28" s="135"/>
      <c r="J28" s="556">
        <v>0.375</v>
      </c>
      <c r="K28" s="554">
        <v>1</v>
      </c>
      <c r="L28" s="565" t="s">
        <v>686</v>
      </c>
      <c r="M28" s="558"/>
      <c r="N28" s="559"/>
      <c r="O28" s="557"/>
    </row>
    <row r="29" spans="2:15" ht="16.5" thickBot="1">
      <c r="B29" s="135"/>
      <c r="C29" s="145"/>
      <c r="D29" s="528" t="s">
        <v>301</v>
      </c>
      <c r="E29" s="529" t="s">
        <v>156</v>
      </c>
      <c r="F29" s="529" t="s">
        <v>770</v>
      </c>
      <c r="G29" s="530"/>
      <c r="I29" s="135"/>
      <c r="J29" s="556">
        <v>0.3888888888888889</v>
      </c>
      <c r="K29" s="554">
        <v>2</v>
      </c>
      <c r="L29" s="565" t="s">
        <v>687</v>
      </c>
      <c r="M29" s="557"/>
      <c r="N29" s="568"/>
      <c r="O29" s="560"/>
    </row>
    <row r="30" spans="2:15" ht="16.5" thickTop="1">
      <c r="B30" s="135"/>
      <c r="I30" s="135"/>
      <c r="J30" s="556">
        <v>0.40277777777777801</v>
      </c>
      <c r="K30" s="554">
        <v>3</v>
      </c>
      <c r="L30" s="557" t="s">
        <v>680</v>
      </c>
      <c r="M30" s="560"/>
      <c r="N30" s="557"/>
      <c r="O30" s="560"/>
    </row>
    <row r="31" spans="2:15">
      <c r="B31" s="135"/>
      <c r="I31" s="135"/>
      <c r="J31" s="556">
        <v>0.41666666666666702</v>
      </c>
      <c r="K31" s="552">
        <v>4</v>
      </c>
      <c r="L31" s="557" t="s">
        <v>681</v>
      </c>
      <c r="M31" s="557"/>
      <c r="N31" s="557"/>
      <c r="O31" s="560"/>
    </row>
    <row r="32" spans="2:15">
      <c r="B32" s="135"/>
      <c r="F32" s="136"/>
      <c r="I32" s="135"/>
      <c r="J32" s="561">
        <v>0.43055555555555558</v>
      </c>
      <c r="K32" s="554">
        <v>5</v>
      </c>
      <c r="L32" s="565" t="s">
        <v>689</v>
      </c>
      <c r="M32" s="560"/>
      <c r="N32" s="557"/>
      <c r="O32" s="560"/>
    </row>
    <row r="33" spans="2:15" ht="17.25" customHeight="1">
      <c r="B33" s="552" t="s">
        <v>278</v>
      </c>
      <c r="C33" s="552" t="s">
        <v>279</v>
      </c>
      <c r="D33" s="657" t="s">
        <v>343</v>
      </c>
      <c r="E33" s="658"/>
      <c r="F33" s="658"/>
      <c r="G33" s="659"/>
      <c r="I33" s="135"/>
      <c r="J33" s="556">
        <v>0.44444444444444442</v>
      </c>
      <c r="K33" s="554">
        <v>6</v>
      </c>
      <c r="L33" s="565" t="s">
        <v>688</v>
      </c>
      <c r="M33" s="562"/>
      <c r="N33" s="557"/>
      <c r="O33" s="560"/>
    </row>
    <row r="34" spans="2:15">
      <c r="B34" s="553" t="s">
        <v>298</v>
      </c>
      <c r="C34" s="553" t="s">
        <v>299</v>
      </c>
      <c r="D34" s="554" t="s">
        <v>166</v>
      </c>
      <c r="E34" s="554"/>
      <c r="F34" s="555"/>
      <c r="G34" s="554"/>
      <c r="I34" s="135"/>
      <c r="J34" s="660" t="s">
        <v>283</v>
      </c>
      <c r="K34" s="661"/>
      <c r="L34" s="661"/>
      <c r="M34" s="661"/>
      <c r="N34" s="661"/>
      <c r="O34" s="662"/>
    </row>
    <row r="35" spans="2:15">
      <c r="B35" s="561">
        <v>0.58333333333333337</v>
      </c>
      <c r="C35" s="554">
        <v>1</v>
      </c>
      <c r="D35" s="557" t="s">
        <v>674</v>
      </c>
      <c r="E35" s="557"/>
      <c r="F35" s="557"/>
      <c r="G35" s="557"/>
      <c r="I35" s="135"/>
      <c r="J35" s="561">
        <v>0.58333333333333337</v>
      </c>
      <c r="K35" s="554">
        <v>7</v>
      </c>
      <c r="L35" s="557" t="s">
        <v>682</v>
      </c>
      <c r="M35" s="557"/>
      <c r="N35" s="557"/>
      <c r="O35" s="560"/>
    </row>
    <row r="36" spans="2:15">
      <c r="B36" s="561">
        <v>0.59722222222222221</v>
      </c>
      <c r="C36" s="554">
        <v>2</v>
      </c>
      <c r="D36" s="557" t="s">
        <v>675</v>
      </c>
      <c r="E36" s="557"/>
      <c r="F36" s="557"/>
      <c r="G36" s="557"/>
      <c r="I36" s="135"/>
      <c r="J36" s="561">
        <v>0.59722222222222221</v>
      </c>
      <c r="K36" s="554">
        <v>8</v>
      </c>
      <c r="L36" s="557" t="s">
        <v>683</v>
      </c>
      <c r="M36" s="557"/>
      <c r="N36" s="557"/>
      <c r="O36" s="560"/>
    </row>
    <row r="37" spans="2:15">
      <c r="B37" s="561">
        <v>0.61111111111111105</v>
      </c>
      <c r="C37" s="554">
        <v>3</v>
      </c>
      <c r="D37" s="557" t="s">
        <v>676</v>
      </c>
      <c r="E37" s="557"/>
      <c r="F37" s="554"/>
      <c r="G37" s="554"/>
      <c r="I37" s="135"/>
      <c r="J37" s="561">
        <v>0.61111111111111105</v>
      </c>
      <c r="K37" s="554">
        <v>9</v>
      </c>
      <c r="L37" s="569" t="s">
        <v>690</v>
      </c>
      <c r="M37" s="557"/>
      <c r="N37" s="554"/>
      <c r="O37" s="554"/>
    </row>
    <row r="38" spans="2:15">
      <c r="B38" s="561">
        <v>0.625</v>
      </c>
      <c r="C38" s="554">
        <v>4</v>
      </c>
      <c r="D38" s="557" t="s">
        <v>677</v>
      </c>
      <c r="E38" s="554"/>
      <c r="F38" s="554"/>
      <c r="G38" s="554"/>
      <c r="I38" s="135"/>
      <c r="J38" s="561">
        <v>0.625</v>
      </c>
      <c r="K38" s="552">
        <v>10</v>
      </c>
      <c r="L38" s="569" t="s">
        <v>691</v>
      </c>
      <c r="M38" s="563"/>
      <c r="N38" s="552"/>
      <c r="O38" s="552"/>
    </row>
    <row r="39" spans="2:15">
      <c r="B39" s="561">
        <v>0.63888888888888895</v>
      </c>
      <c r="C39" s="554">
        <v>5</v>
      </c>
      <c r="D39" s="557" t="s">
        <v>678</v>
      </c>
      <c r="E39" s="557"/>
      <c r="F39" s="554"/>
      <c r="G39" s="554"/>
      <c r="I39" s="135"/>
      <c r="J39" s="561">
        <v>0.63888888888888895</v>
      </c>
      <c r="K39" s="565">
        <v>11</v>
      </c>
      <c r="L39" s="557" t="s">
        <v>684</v>
      </c>
      <c r="M39" s="567"/>
      <c r="N39" s="567"/>
      <c r="O39" s="565"/>
    </row>
    <row r="40" spans="2:15">
      <c r="B40" s="561">
        <v>0.65277777777777779</v>
      </c>
      <c r="C40" s="554">
        <v>6</v>
      </c>
      <c r="D40" s="557" t="s">
        <v>679</v>
      </c>
      <c r="E40" s="557"/>
      <c r="F40" s="554"/>
      <c r="G40" s="554"/>
      <c r="I40" s="135"/>
      <c r="J40" s="566">
        <v>0.65277777777777779</v>
      </c>
      <c r="K40" s="565">
        <v>12</v>
      </c>
      <c r="L40" s="557" t="s">
        <v>685</v>
      </c>
      <c r="M40" s="567"/>
      <c r="N40" s="567"/>
      <c r="O40" s="565"/>
    </row>
    <row r="41" spans="2:15">
      <c r="B41" s="143"/>
      <c r="D41" s="91"/>
      <c r="E41" s="91"/>
      <c r="I41" s="135"/>
      <c r="J41" s="135"/>
      <c r="L41" s="136"/>
      <c r="M41" s="136"/>
    </row>
    <row r="42" spans="2:15">
      <c r="B42" s="143"/>
      <c r="D42" s="91"/>
      <c r="E42" s="91"/>
      <c r="I42" s="135"/>
      <c r="J42" s="135"/>
      <c r="L42" s="136"/>
      <c r="M42" s="136"/>
    </row>
    <row r="43" spans="2:15" ht="17.25" thickBot="1">
      <c r="B43" s="135"/>
      <c r="E43" s="138" t="s">
        <v>763</v>
      </c>
      <c r="F43" s="138"/>
      <c r="I43" s="135"/>
      <c r="J43" s="135"/>
      <c r="L43" s="138" t="s">
        <v>764</v>
      </c>
      <c r="M43" s="138"/>
      <c r="N43" s="138"/>
    </row>
    <row r="44" spans="2:15" ht="16.5" thickTop="1">
      <c r="B44" s="135"/>
      <c r="C44" s="139" t="s">
        <v>141</v>
      </c>
      <c r="D44" s="522" t="s">
        <v>277</v>
      </c>
      <c r="E44" s="523" t="s">
        <v>766</v>
      </c>
      <c r="F44" s="523" t="s">
        <v>767</v>
      </c>
      <c r="G44" s="524"/>
      <c r="I44" s="135"/>
      <c r="J44" s="552" t="s">
        <v>278</v>
      </c>
      <c r="K44" s="552" t="s">
        <v>279</v>
      </c>
      <c r="L44" s="657" t="s">
        <v>343</v>
      </c>
      <c r="M44" s="658"/>
      <c r="N44" s="658"/>
      <c r="O44" s="659"/>
    </row>
    <row r="45" spans="2:15">
      <c r="B45" s="135"/>
      <c r="C45" s="141"/>
      <c r="D45" s="525" t="s">
        <v>280</v>
      </c>
      <c r="E45" s="526" t="s">
        <v>768</v>
      </c>
      <c r="F45" s="526" t="s">
        <v>300</v>
      </c>
      <c r="G45" s="527"/>
      <c r="I45" s="135"/>
      <c r="J45" s="553" t="s">
        <v>298</v>
      </c>
      <c r="K45" s="553" t="s">
        <v>299</v>
      </c>
      <c r="L45" s="552" t="s">
        <v>166</v>
      </c>
      <c r="M45" s="554"/>
      <c r="N45" s="555"/>
      <c r="O45" s="554"/>
    </row>
    <row r="46" spans="2:15">
      <c r="B46" s="143"/>
      <c r="C46" s="141"/>
      <c r="D46" s="525" t="s">
        <v>282</v>
      </c>
      <c r="E46" s="525" t="s">
        <v>281</v>
      </c>
      <c r="F46" s="525" t="s">
        <v>769</v>
      </c>
      <c r="G46" s="527"/>
      <c r="I46" s="135"/>
      <c r="J46" s="556">
        <v>0.375</v>
      </c>
      <c r="K46" s="564">
        <v>1</v>
      </c>
      <c r="L46" s="569" t="s">
        <v>344</v>
      </c>
      <c r="M46" s="558"/>
      <c r="N46" s="559"/>
      <c r="O46" s="557"/>
    </row>
    <row r="47" spans="2:15" ht="16.5" thickBot="1">
      <c r="B47" s="135"/>
      <c r="C47" s="145"/>
      <c r="D47" s="528" t="s">
        <v>301</v>
      </c>
      <c r="E47" s="529" t="s">
        <v>156</v>
      </c>
      <c r="F47" s="529" t="s">
        <v>770</v>
      </c>
      <c r="G47" s="530"/>
      <c r="I47" s="135"/>
      <c r="J47" s="556">
        <v>0.3888888888888889</v>
      </c>
      <c r="K47" s="564">
        <v>2</v>
      </c>
      <c r="L47" s="569" t="s">
        <v>345</v>
      </c>
      <c r="M47" s="560"/>
      <c r="N47" s="557"/>
      <c r="O47" s="560"/>
    </row>
    <row r="48" spans="2:15" ht="16.5" thickTop="1">
      <c r="B48" s="135"/>
      <c r="I48" s="135"/>
      <c r="J48" s="556">
        <v>0.40277777777777801</v>
      </c>
      <c r="K48" s="564">
        <v>3</v>
      </c>
      <c r="L48" s="569" t="s">
        <v>346</v>
      </c>
      <c r="M48" s="560"/>
      <c r="N48" s="557"/>
      <c r="O48" s="560"/>
    </row>
    <row r="49" spans="2:17">
      <c r="B49" s="135"/>
      <c r="I49" s="135"/>
      <c r="J49" s="556">
        <v>0.41666666666666702</v>
      </c>
      <c r="K49" s="552">
        <v>4</v>
      </c>
      <c r="L49" s="570" t="s">
        <v>347</v>
      </c>
      <c r="M49" s="557"/>
      <c r="N49" s="557"/>
      <c r="O49" s="560"/>
    </row>
    <row r="50" spans="2:17">
      <c r="B50" s="135"/>
      <c r="F50" s="136"/>
      <c r="I50" s="135"/>
      <c r="J50" s="561"/>
      <c r="K50" s="554"/>
      <c r="L50" s="554"/>
      <c r="M50" s="560"/>
      <c r="N50" s="557"/>
      <c r="O50" s="560"/>
    </row>
    <row r="51" spans="2:17" ht="17.25" customHeight="1">
      <c r="B51" s="552" t="s">
        <v>278</v>
      </c>
      <c r="C51" s="552" t="s">
        <v>279</v>
      </c>
      <c r="D51" s="657" t="s">
        <v>626</v>
      </c>
      <c r="E51" s="658"/>
      <c r="F51" s="658"/>
      <c r="G51" s="659"/>
      <c r="I51" s="135"/>
      <c r="J51" s="660" t="s">
        <v>283</v>
      </c>
      <c r="K51" s="661"/>
      <c r="L51" s="663"/>
      <c r="M51" s="661"/>
      <c r="N51" s="661"/>
      <c r="O51" s="662"/>
    </row>
    <row r="52" spans="2:17">
      <c r="B52" s="553" t="s">
        <v>298</v>
      </c>
      <c r="C52" s="553" t="s">
        <v>299</v>
      </c>
      <c r="D52" s="554" t="s">
        <v>166</v>
      </c>
      <c r="E52" s="554"/>
      <c r="F52" s="555"/>
      <c r="G52" s="554"/>
      <c r="I52" s="135"/>
      <c r="J52" s="556">
        <v>0.5625</v>
      </c>
      <c r="K52" s="564">
        <v>5</v>
      </c>
      <c r="L52" s="569" t="s">
        <v>348</v>
      </c>
      <c r="M52" s="562"/>
      <c r="N52" s="557"/>
      <c r="O52" s="560"/>
    </row>
    <row r="53" spans="2:17">
      <c r="B53" s="561">
        <v>0.58333333333333337</v>
      </c>
      <c r="C53" s="554">
        <v>1</v>
      </c>
      <c r="D53" s="565" t="s">
        <v>349</v>
      </c>
      <c r="E53" s="557"/>
      <c r="F53" s="557"/>
      <c r="G53" s="557"/>
      <c r="I53" s="135"/>
      <c r="J53" s="556">
        <v>0.57638888888888895</v>
      </c>
      <c r="K53" s="554">
        <v>6</v>
      </c>
      <c r="L53" s="570" t="s">
        <v>352</v>
      </c>
      <c r="M53" s="557"/>
      <c r="N53" s="557"/>
      <c r="O53" s="560"/>
    </row>
    <row r="54" spans="2:17">
      <c r="B54" s="561">
        <v>0.59722222222222221</v>
      </c>
      <c r="C54" s="554">
        <v>2</v>
      </c>
      <c r="D54" s="565" t="s">
        <v>922</v>
      </c>
      <c r="E54" s="557"/>
      <c r="F54" s="557"/>
      <c r="G54" s="557"/>
      <c r="I54" s="135"/>
      <c r="J54" s="556">
        <v>0.59027777777777779</v>
      </c>
      <c r="K54" s="554">
        <v>7</v>
      </c>
      <c r="L54" s="571" t="s">
        <v>353</v>
      </c>
      <c r="M54" s="557"/>
      <c r="N54" s="557"/>
      <c r="O54" s="560"/>
    </row>
    <row r="55" spans="2:17">
      <c r="B55" s="561">
        <v>0.61111111111111105</v>
      </c>
      <c r="C55" s="554">
        <v>3</v>
      </c>
      <c r="D55" s="565" t="s">
        <v>350</v>
      </c>
      <c r="E55" s="557"/>
      <c r="F55" s="554"/>
      <c r="G55" s="554"/>
      <c r="I55" s="135"/>
      <c r="J55" s="561">
        <v>0.60416666666666663</v>
      </c>
      <c r="K55" s="554">
        <v>8</v>
      </c>
      <c r="L55" s="571" t="s">
        <v>354</v>
      </c>
      <c r="M55" s="557"/>
      <c r="N55" s="554"/>
      <c r="O55" s="554"/>
    </row>
    <row r="56" spans="2:17">
      <c r="B56" s="561">
        <v>0.625</v>
      </c>
      <c r="C56" s="554">
        <v>4</v>
      </c>
      <c r="D56" s="565" t="s">
        <v>351</v>
      </c>
      <c r="E56" s="554"/>
      <c r="F56" s="554"/>
      <c r="G56" s="554"/>
      <c r="I56" s="135"/>
      <c r="J56" s="561"/>
      <c r="K56" s="554"/>
      <c r="L56" s="557"/>
      <c r="M56" s="557"/>
      <c r="N56" s="554"/>
      <c r="O56" s="554"/>
    </row>
    <row r="57" spans="2:17">
      <c r="B57" s="561"/>
      <c r="C57" s="554"/>
      <c r="D57" s="554"/>
      <c r="E57" s="557"/>
      <c r="F57" s="554"/>
      <c r="G57" s="554"/>
      <c r="I57" s="135"/>
      <c r="J57" s="135"/>
      <c r="L57" s="136"/>
      <c r="M57" s="136"/>
    </row>
    <row r="58" spans="2:17">
      <c r="B58" s="561"/>
      <c r="C58" s="554"/>
      <c r="D58" s="557"/>
      <c r="E58" s="557"/>
      <c r="F58" s="554"/>
      <c r="G58" s="554"/>
      <c r="I58" s="135"/>
      <c r="J58" s="135"/>
      <c r="L58" s="136"/>
      <c r="M58" s="136"/>
    </row>
    <row r="59" spans="2:17">
      <c r="B59" s="143"/>
      <c r="D59" s="91"/>
      <c r="E59" s="91"/>
      <c r="I59" s="135"/>
      <c r="J59" s="135"/>
      <c r="L59" s="136"/>
      <c r="M59" s="136"/>
    </row>
    <row r="60" spans="2:17">
      <c r="B60" s="135"/>
      <c r="I60" s="135"/>
      <c r="J60" s="135"/>
      <c r="L60" s="136"/>
      <c r="M60" s="136"/>
    </row>
    <row r="61" spans="2:17">
      <c r="B61" s="135"/>
      <c r="C61" s="147"/>
      <c r="L61" s="136"/>
      <c r="M61" s="136"/>
    </row>
    <row r="62" spans="2:17" ht="17.25" thickBot="1">
      <c r="B62" s="135"/>
      <c r="E62" s="138" t="s">
        <v>835</v>
      </c>
      <c r="F62" s="138"/>
      <c r="I62" s="135"/>
      <c r="J62" s="135"/>
      <c r="L62" s="138" t="s">
        <v>836</v>
      </c>
      <c r="M62" s="138"/>
      <c r="N62" s="138"/>
    </row>
    <row r="63" spans="2:17" ht="16.5" thickTop="1">
      <c r="B63" s="135"/>
      <c r="C63" s="139" t="s">
        <v>141</v>
      </c>
      <c r="D63" s="522" t="s">
        <v>277</v>
      </c>
      <c r="E63" s="523" t="s">
        <v>766</v>
      </c>
      <c r="F63" s="523" t="s">
        <v>767</v>
      </c>
      <c r="G63" s="524"/>
      <c r="I63" s="135"/>
      <c r="J63" s="552" t="s">
        <v>278</v>
      </c>
      <c r="K63" s="552" t="s">
        <v>279</v>
      </c>
      <c r="L63" s="649" t="s">
        <v>309</v>
      </c>
      <c r="M63" s="650"/>
      <c r="N63" s="650"/>
      <c r="O63" s="651"/>
      <c r="Q63" s="135"/>
    </row>
    <row r="64" spans="2:17">
      <c r="B64" s="135"/>
      <c r="C64" s="141"/>
      <c r="D64" s="525" t="s">
        <v>280</v>
      </c>
      <c r="E64" s="526" t="s">
        <v>768</v>
      </c>
      <c r="F64" s="526" t="s">
        <v>300</v>
      </c>
      <c r="G64" s="527"/>
      <c r="I64" s="135"/>
      <c r="J64" s="553" t="s">
        <v>298</v>
      </c>
      <c r="K64" s="553" t="s">
        <v>299</v>
      </c>
      <c r="L64" s="554" t="s">
        <v>166</v>
      </c>
      <c r="M64" s="552" t="s">
        <v>172</v>
      </c>
      <c r="N64" s="555"/>
      <c r="O64" s="554"/>
    </row>
    <row r="65" spans="2:15">
      <c r="B65" s="143"/>
      <c r="C65" s="141"/>
      <c r="D65" s="525" t="s">
        <v>282</v>
      </c>
      <c r="E65" s="525" t="s">
        <v>281</v>
      </c>
      <c r="F65" s="525" t="s">
        <v>769</v>
      </c>
      <c r="G65" s="527"/>
      <c r="I65" s="135"/>
      <c r="J65" s="556">
        <v>0.375</v>
      </c>
      <c r="K65" s="554">
        <v>1</v>
      </c>
      <c r="L65" s="571" t="s">
        <v>837</v>
      </c>
      <c r="M65" s="565"/>
      <c r="N65" s="594"/>
      <c r="O65" s="557"/>
    </row>
    <row r="66" spans="2:15" ht="16.5" thickBot="1">
      <c r="B66" s="135"/>
      <c r="C66" s="145"/>
      <c r="D66" s="528" t="s">
        <v>301</v>
      </c>
      <c r="E66" s="529" t="s">
        <v>156</v>
      </c>
      <c r="F66" s="529" t="s">
        <v>770</v>
      </c>
      <c r="G66" s="530"/>
      <c r="I66" s="135"/>
      <c r="J66" s="556">
        <v>0.3888888888888889</v>
      </c>
      <c r="K66" s="554">
        <v>2</v>
      </c>
      <c r="L66" s="571" t="s">
        <v>839</v>
      </c>
      <c r="M66" s="565"/>
      <c r="N66" s="560"/>
      <c r="O66" s="560"/>
    </row>
    <row r="67" spans="2:15" ht="16.5" thickTop="1">
      <c r="B67" s="135"/>
      <c r="I67" s="135"/>
      <c r="J67" s="556">
        <v>0.40277777777777801</v>
      </c>
      <c r="K67" s="554">
        <v>3</v>
      </c>
      <c r="L67" s="571" t="s">
        <v>841</v>
      </c>
      <c r="M67" s="565"/>
      <c r="N67" s="560"/>
      <c r="O67" s="560"/>
    </row>
    <row r="68" spans="2:15">
      <c r="B68" s="135"/>
      <c r="I68" s="135"/>
      <c r="J68" s="556">
        <v>0.41666666666666702</v>
      </c>
      <c r="K68" s="552">
        <v>4</v>
      </c>
      <c r="L68" s="571" t="s">
        <v>843</v>
      </c>
      <c r="M68" s="565"/>
      <c r="N68" s="560"/>
      <c r="O68" s="560"/>
    </row>
    <row r="69" spans="2:15">
      <c r="B69" s="135"/>
      <c r="F69" s="136"/>
      <c r="I69" s="135"/>
      <c r="J69" s="561"/>
      <c r="K69" s="554"/>
      <c r="L69" s="554"/>
      <c r="M69" s="595"/>
      <c r="N69" s="557"/>
      <c r="O69" s="560"/>
    </row>
    <row r="70" spans="2:15">
      <c r="B70" s="552" t="s">
        <v>278</v>
      </c>
      <c r="C70" s="552" t="s">
        <v>279</v>
      </c>
      <c r="D70" s="649" t="s">
        <v>309</v>
      </c>
      <c r="E70" s="650"/>
      <c r="F70" s="650"/>
      <c r="G70" s="651"/>
      <c r="I70" s="135"/>
      <c r="J70" s="660" t="s">
        <v>283</v>
      </c>
      <c r="K70" s="661"/>
      <c r="L70" s="661"/>
      <c r="M70" s="663"/>
      <c r="N70" s="661"/>
      <c r="O70" s="662"/>
    </row>
    <row r="71" spans="2:15">
      <c r="B71" s="553" t="s">
        <v>298</v>
      </c>
      <c r="C71" s="553" t="s">
        <v>299</v>
      </c>
      <c r="D71" s="554" t="s">
        <v>166</v>
      </c>
      <c r="E71" s="554" t="s">
        <v>172</v>
      </c>
      <c r="F71" s="555"/>
      <c r="G71" s="554"/>
      <c r="I71" s="135"/>
      <c r="J71" s="556">
        <v>0.5625</v>
      </c>
      <c r="K71" s="554">
        <v>5</v>
      </c>
      <c r="L71" s="571" t="s">
        <v>845</v>
      </c>
      <c r="M71" s="565"/>
      <c r="N71" s="560"/>
      <c r="O71" s="560"/>
    </row>
    <row r="72" spans="2:15">
      <c r="B72" s="561">
        <v>0.58333333333333337</v>
      </c>
      <c r="C72" s="554">
        <v>1</v>
      </c>
      <c r="D72" s="557" t="s">
        <v>847</v>
      </c>
      <c r="E72" s="557" t="s">
        <v>848</v>
      </c>
      <c r="F72" s="557"/>
      <c r="G72" s="557"/>
      <c r="I72" s="135"/>
      <c r="J72" s="556">
        <v>0.57638888888888895</v>
      </c>
      <c r="K72" s="554">
        <v>6</v>
      </c>
      <c r="L72" s="571" t="s">
        <v>849</v>
      </c>
      <c r="M72" s="565"/>
      <c r="N72" s="560"/>
      <c r="O72" s="560"/>
    </row>
    <row r="73" spans="2:15">
      <c r="B73" s="561">
        <v>0.59722222222222221</v>
      </c>
      <c r="C73" s="554">
        <v>2</v>
      </c>
      <c r="D73" s="557" t="s">
        <v>851</v>
      </c>
      <c r="E73" s="557" t="s">
        <v>852</v>
      </c>
      <c r="F73" s="557"/>
      <c r="G73" s="557"/>
      <c r="I73" s="135"/>
      <c r="J73" s="556">
        <v>0.59027777777777779</v>
      </c>
      <c r="K73" s="554">
        <v>7</v>
      </c>
      <c r="L73" s="571" t="s">
        <v>853</v>
      </c>
      <c r="M73" s="565"/>
      <c r="N73" s="560"/>
      <c r="O73" s="560"/>
    </row>
    <row r="74" spans="2:15">
      <c r="B74" s="561">
        <v>0.61111111111111105</v>
      </c>
      <c r="C74" s="554">
        <v>3</v>
      </c>
      <c r="D74" s="557" t="s">
        <v>855</v>
      </c>
      <c r="E74" s="557" t="s">
        <v>856</v>
      </c>
      <c r="F74" s="554"/>
      <c r="G74" s="554"/>
      <c r="I74" s="135"/>
      <c r="J74" s="561">
        <v>0.60416666666666663</v>
      </c>
      <c r="K74" s="554">
        <v>8</v>
      </c>
      <c r="L74" s="571" t="s">
        <v>857</v>
      </c>
      <c r="M74" s="565"/>
      <c r="N74" s="591"/>
      <c r="O74" s="554"/>
    </row>
    <row r="75" spans="2:15">
      <c r="B75" s="561">
        <v>0.625</v>
      </c>
      <c r="C75" s="554">
        <v>4</v>
      </c>
      <c r="D75" s="557" t="s">
        <v>859</v>
      </c>
      <c r="E75" s="557" t="s">
        <v>860</v>
      </c>
      <c r="F75" s="554"/>
      <c r="G75" s="554"/>
      <c r="I75" s="135"/>
      <c r="J75" s="143"/>
      <c r="K75" s="135"/>
      <c r="M75" s="91"/>
      <c r="N75" s="135"/>
    </row>
    <row r="76" spans="2:15" ht="16.5" customHeight="1">
      <c r="B76" s="561">
        <v>0.63888888888888895</v>
      </c>
      <c r="C76" s="554">
        <v>5</v>
      </c>
      <c r="D76" s="554" t="s">
        <v>861</v>
      </c>
      <c r="E76" s="554" t="s">
        <v>862</v>
      </c>
      <c r="F76" s="554"/>
      <c r="G76" s="554"/>
      <c r="I76" s="135"/>
      <c r="J76" s="135"/>
      <c r="L76" s="136"/>
      <c r="M76" s="136"/>
    </row>
    <row r="77" spans="2:15">
      <c r="B77" s="561">
        <v>0.65277777777777779</v>
      </c>
      <c r="C77" s="554">
        <v>6</v>
      </c>
      <c r="D77" s="557" t="s">
        <v>863</v>
      </c>
      <c r="E77" s="557" t="s">
        <v>864</v>
      </c>
      <c r="F77" s="554"/>
      <c r="G77" s="554"/>
      <c r="I77" s="135"/>
      <c r="J77" s="135"/>
      <c r="L77" s="136"/>
      <c r="M77" s="136"/>
    </row>
    <row r="78" spans="2:15">
      <c r="B78" s="143"/>
      <c r="D78" s="91"/>
      <c r="E78" s="91"/>
      <c r="I78" s="135"/>
      <c r="J78" s="135"/>
      <c r="L78" s="136"/>
      <c r="M78" s="136"/>
    </row>
    <row r="79" spans="2:15">
      <c r="B79" s="143"/>
      <c r="D79" s="91"/>
      <c r="E79" s="91"/>
      <c r="I79" s="135"/>
      <c r="J79" s="135"/>
      <c r="L79" s="136"/>
      <c r="M79" s="136"/>
    </row>
    <row r="80" spans="2:15">
      <c r="B80" s="135"/>
      <c r="C80" s="147"/>
      <c r="L80" s="136"/>
      <c r="M80" s="136"/>
    </row>
    <row r="81" spans="1:17" ht="17.25" thickBot="1">
      <c r="A81" s="136" t="s">
        <v>865</v>
      </c>
      <c r="B81" s="135"/>
      <c r="E81" s="138" t="s">
        <v>866</v>
      </c>
      <c r="F81" s="138"/>
      <c r="I81" s="135"/>
      <c r="J81" s="135"/>
      <c r="L81" s="138" t="s">
        <v>867</v>
      </c>
      <c r="M81" s="138"/>
      <c r="N81" s="138"/>
    </row>
    <row r="82" spans="1:17" ht="16.5" thickTop="1">
      <c r="B82" s="135"/>
      <c r="C82" s="139" t="s">
        <v>141</v>
      </c>
      <c r="D82" s="522" t="s">
        <v>277</v>
      </c>
      <c r="E82" s="523" t="s">
        <v>766</v>
      </c>
      <c r="F82" s="523" t="s">
        <v>767</v>
      </c>
      <c r="G82" s="524"/>
      <c r="I82" s="135"/>
      <c r="J82" s="552" t="s">
        <v>278</v>
      </c>
      <c r="K82" s="552" t="s">
        <v>279</v>
      </c>
      <c r="L82" s="649" t="s">
        <v>309</v>
      </c>
      <c r="M82" s="650"/>
      <c r="N82" s="650"/>
      <c r="O82" s="651"/>
      <c r="Q82" s="135"/>
    </row>
    <row r="83" spans="1:17">
      <c r="B83" s="135"/>
      <c r="C83" s="141"/>
      <c r="D83" s="525" t="s">
        <v>280</v>
      </c>
      <c r="E83" s="526" t="s">
        <v>768</v>
      </c>
      <c r="F83" s="526" t="s">
        <v>300</v>
      </c>
      <c r="G83" s="527"/>
      <c r="I83" s="135"/>
      <c r="J83" s="553" t="s">
        <v>298</v>
      </c>
      <c r="K83" s="553" t="s">
        <v>299</v>
      </c>
      <c r="L83" s="554" t="s">
        <v>166</v>
      </c>
      <c r="M83" s="552"/>
      <c r="N83" s="555"/>
      <c r="O83" s="554"/>
      <c r="Q83" s="135"/>
    </row>
    <row r="84" spans="1:17">
      <c r="B84" s="143"/>
      <c r="C84" s="141"/>
      <c r="D84" s="525" t="s">
        <v>282</v>
      </c>
      <c r="E84" s="525" t="s">
        <v>281</v>
      </c>
      <c r="F84" s="525" t="s">
        <v>769</v>
      </c>
      <c r="G84" s="527"/>
      <c r="I84" s="135"/>
      <c r="J84" s="556">
        <v>0.375</v>
      </c>
      <c r="K84" s="554">
        <v>1</v>
      </c>
      <c r="L84" s="571" t="s">
        <v>868</v>
      </c>
      <c r="M84" s="565"/>
      <c r="N84" s="594"/>
      <c r="O84" s="557"/>
    </row>
    <row r="85" spans="1:17" ht="16.5" thickBot="1">
      <c r="B85" s="135"/>
      <c r="C85" s="145"/>
      <c r="D85" s="528" t="s">
        <v>301</v>
      </c>
      <c r="E85" s="529" t="s">
        <v>156</v>
      </c>
      <c r="F85" s="529" t="s">
        <v>770</v>
      </c>
      <c r="G85" s="530"/>
      <c r="I85" s="135"/>
      <c r="J85" s="556">
        <v>0.3888888888888889</v>
      </c>
      <c r="K85" s="554">
        <v>2</v>
      </c>
      <c r="L85" s="571" t="s">
        <v>869</v>
      </c>
      <c r="M85" s="565"/>
      <c r="N85" s="560"/>
      <c r="O85" s="560"/>
    </row>
    <row r="86" spans="1:17" ht="16.5" thickTop="1">
      <c r="B86" s="135"/>
      <c r="I86" s="135"/>
      <c r="J86" s="556">
        <v>0.40277777777777801</v>
      </c>
      <c r="K86" s="554">
        <v>3</v>
      </c>
      <c r="L86" s="571" t="s">
        <v>870</v>
      </c>
      <c r="M86" s="565"/>
      <c r="N86" s="560"/>
      <c r="O86" s="560"/>
    </row>
    <row r="87" spans="1:17">
      <c r="B87" s="135"/>
      <c r="I87" s="135"/>
      <c r="J87" s="556">
        <v>0.41666666666666702</v>
      </c>
      <c r="K87" s="552">
        <v>4</v>
      </c>
      <c r="L87" s="571" t="s">
        <v>871</v>
      </c>
      <c r="M87" s="565"/>
      <c r="N87" s="560"/>
      <c r="O87" s="560"/>
    </row>
    <row r="88" spans="1:17">
      <c r="B88" s="135"/>
      <c r="F88" s="136"/>
      <c r="I88" s="135"/>
      <c r="J88" s="561"/>
      <c r="K88" s="554"/>
      <c r="L88" s="571"/>
      <c r="M88" s="565"/>
      <c r="N88" s="560"/>
      <c r="O88" s="560"/>
    </row>
    <row r="89" spans="1:17" ht="17.25" customHeight="1">
      <c r="B89" s="552" t="s">
        <v>278</v>
      </c>
      <c r="C89" s="552" t="s">
        <v>279</v>
      </c>
      <c r="D89" s="649" t="s">
        <v>309</v>
      </c>
      <c r="E89" s="650"/>
      <c r="F89" s="650"/>
      <c r="G89" s="651"/>
      <c r="I89" s="135"/>
      <c r="J89" s="660" t="s">
        <v>283</v>
      </c>
      <c r="K89" s="661"/>
      <c r="L89" s="661"/>
      <c r="M89" s="667"/>
      <c r="N89" s="661"/>
      <c r="O89" s="662"/>
    </row>
    <row r="90" spans="1:17">
      <c r="B90" s="553" t="s">
        <v>298</v>
      </c>
      <c r="C90" s="553" t="s">
        <v>299</v>
      </c>
      <c r="D90" s="554" t="s">
        <v>166</v>
      </c>
      <c r="E90" s="554" t="s">
        <v>172</v>
      </c>
      <c r="F90" s="555"/>
      <c r="G90" s="554"/>
      <c r="J90" s="556">
        <v>0.5625</v>
      </c>
      <c r="K90" s="554">
        <v>5</v>
      </c>
      <c r="L90" s="571" t="s">
        <v>872</v>
      </c>
      <c r="M90" s="565"/>
      <c r="N90" s="560"/>
      <c r="O90" s="560"/>
    </row>
    <row r="91" spans="1:17">
      <c r="B91" s="561">
        <v>0.58333333333333337</v>
      </c>
      <c r="C91" s="554">
        <v>1</v>
      </c>
      <c r="D91" s="565" t="s">
        <v>838</v>
      </c>
      <c r="E91" s="565" t="s">
        <v>840</v>
      </c>
      <c r="F91" s="565"/>
      <c r="G91" s="565"/>
      <c r="J91" s="556">
        <v>0.57638888888888895</v>
      </c>
      <c r="K91" s="554">
        <v>6</v>
      </c>
      <c r="L91" s="571" t="s">
        <v>873</v>
      </c>
      <c r="M91" s="565"/>
      <c r="N91" s="560"/>
      <c r="O91" s="560"/>
    </row>
    <row r="92" spans="1:17">
      <c r="B92" s="561">
        <v>0.59722222222222221</v>
      </c>
      <c r="C92" s="554">
        <v>2</v>
      </c>
      <c r="D92" s="565" t="s">
        <v>842</v>
      </c>
      <c r="E92" s="565" t="s">
        <v>844</v>
      </c>
      <c r="F92" s="565"/>
      <c r="G92" s="565"/>
      <c r="J92" s="556">
        <v>0.59027777777777779</v>
      </c>
      <c r="K92" s="554">
        <v>7</v>
      </c>
      <c r="L92" s="571" t="s">
        <v>874</v>
      </c>
      <c r="M92" s="565"/>
      <c r="N92" s="560"/>
      <c r="O92" s="560"/>
    </row>
    <row r="93" spans="1:17">
      <c r="B93" s="561">
        <v>0.61111111111111105</v>
      </c>
      <c r="C93" s="554">
        <v>3</v>
      </c>
      <c r="D93" s="565" t="s">
        <v>846</v>
      </c>
      <c r="E93" s="565" t="s">
        <v>850</v>
      </c>
      <c r="F93" s="565"/>
      <c r="G93" s="565"/>
      <c r="J93" s="561">
        <v>0.60416666666666663</v>
      </c>
      <c r="K93" s="554">
        <v>8</v>
      </c>
      <c r="L93" s="571" t="s">
        <v>875</v>
      </c>
      <c r="M93" s="555"/>
      <c r="N93" s="554"/>
      <c r="O93" s="554"/>
    </row>
    <row r="94" spans="1:17">
      <c r="B94" s="561">
        <v>0.625</v>
      </c>
      <c r="C94" s="554">
        <v>4</v>
      </c>
      <c r="D94" s="565" t="s">
        <v>854</v>
      </c>
      <c r="E94" s="565" t="s">
        <v>858</v>
      </c>
      <c r="F94" s="565"/>
      <c r="G94" s="565"/>
      <c r="I94" s="135"/>
      <c r="J94" s="143"/>
      <c r="K94" s="135"/>
      <c r="M94" s="91"/>
      <c r="N94" s="135"/>
    </row>
    <row r="95" spans="1:17">
      <c r="B95" s="561"/>
      <c r="C95" s="554"/>
      <c r="D95" s="554"/>
      <c r="E95" s="557"/>
      <c r="F95" s="554"/>
      <c r="G95" s="554"/>
      <c r="I95" s="135"/>
      <c r="J95" s="135"/>
      <c r="L95" s="136"/>
      <c r="M95" s="136"/>
    </row>
    <row r="96" spans="1:17">
      <c r="B96" s="561"/>
      <c r="C96" s="554"/>
      <c r="D96" s="557"/>
      <c r="E96" s="557"/>
      <c r="F96" s="554"/>
      <c r="G96" s="554"/>
      <c r="I96" s="135"/>
      <c r="J96" s="135"/>
      <c r="L96" s="136"/>
      <c r="M96" s="136"/>
    </row>
    <row r="97" spans="2:17">
      <c r="B97" s="135"/>
      <c r="C97" s="147"/>
      <c r="L97" s="136"/>
      <c r="M97" s="136"/>
    </row>
    <row r="98" spans="2:17" ht="16.5" customHeight="1">
      <c r="B98" s="135"/>
      <c r="C98" s="147"/>
      <c r="L98" s="136"/>
      <c r="M98" s="136"/>
    </row>
    <row r="99" spans="2:17">
      <c r="B99" s="135"/>
      <c r="C99" s="147"/>
      <c r="L99" s="136"/>
      <c r="M99" s="136"/>
    </row>
    <row r="100" spans="2:17" ht="17.25" thickBot="1">
      <c r="B100" s="135"/>
      <c r="E100" s="138" t="s">
        <v>876</v>
      </c>
      <c r="F100" s="138"/>
      <c r="I100" s="135"/>
      <c r="J100" s="135"/>
      <c r="L100" s="138" t="s">
        <v>877</v>
      </c>
      <c r="M100" s="138"/>
      <c r="N100" s="138"/>
    </row>
    <row r="101" spans="2:17" ht="16.5" thickTop="1">
      <c r="B101" s="135"/>
      <c r="C101" s="139" t="s">
        <v>141</v>
      </c>
      <c r="D101" s="522" t="s">
        <v>277</v>
      </c>
      <c r="E101" s="523" t="s">
        <v>766</v>
      </c>
      <c r="F101" s="523" t="s">
        <v>767</v>
      </c>
      <c r="G101" s="524"/>
      <c r="I101" s="135"/>
      <c r="J101" s="608" t="s">
        <v>278</v>
      </c>
      <c r="K101" s="608" t="s">
        <v>279</v>
      </c>
      <c r="L101" s="646" t="s">
        <v>309</v>
      </c>
      <c r="M101" s="647"/>
      <c r="N101" s="647"/>
      <c r="O101" s="648"/>
      <c r="Q101" s="135"/>
    </row>
    <row r="102" spans="2:17" ht="16.350000000000001" customHeight="1">
      <c r="B102" s="135"/>
      <c r="C102" s="141"/>
      <c r="D102" s="525" t="s">
        <v>280</v>
      </c>
      <c r="E102" s="526" t="s">
        <v>768</v>
      </c>
      <c r="F102" s="526" t="s">
        <v>300</v>
      </c>
      <c r="G102" s="527"/>
      <c r="I102" s="135"/>
      <c r="J102" s="609" t="s">
        <v>298</v>
      </c>
      <c r="K102" s="609" t="s">
        <v>299</v>
      </c>
      <c r="L102" s="608" t="s">
        <v>166</v>
      </c>
      <c r="M102" s="608" t="s">
        <v>172</v>
      </c>
      <c r="N102" s="610"/>
      <c r="O102" s="608"/>
    </row>
    <row r="103" spans="2:17" ht="16.350000000000001" customHeight="1">
      <c r="B103" s="143"/>
      <c r="C103" s="141"/>
      <c r="D103" s="525" t="s">
        <v>282</v>
      </c>
      <c r="E103" s="525" t="s">
        <v>281</v>
      </c>
      <c r="F103" s="525" t="s">
        <v>769</v>
      </c>
      <c r="G103" s="527"/>
      <c r="I103" s="135"/>
      <c r="J103" s="611">
        <v>0.375</v>
      </c>
      <c r="K103" s="612">
        <v>1</v>
      </c>
      <c r="L103" s="613" t="s">
        <v>878</v>
      </c>
      <c r="M103" s="613"/>
      <c r="N103" s="614"/>
      <c r="O103" s="615"/>
    </row>
    <row r="104" spans="2:17" ht="16.350000000000001" customHeight="1" thickBot="1">
      <c r="B104" s="135"/>
      <c r="C104" s="145"/>
      <c r="D104" s="528" t="s">
        <v>301</v>
      </c>
      <c r="E104" s="529" t="s">
        <v>156</v>
      </c>
      <c r="F104" s="529" t="s">
        <v>770</v>
      </c>
      <c r="G104" s="530"/>
      <c r="I104" s="135"/>
      <c r="J104" s="611">
        <v>0.3888888888888889</v>
      </c>
      <c r="K104" s="612">
        <v>2</v>
      </c>
      <c r="L104" s="613" t="s">
        <v>879</v>
      </c>
      <c r="M104" s="613"/>
      <c r="N104" s="616"/>
      <c r="O104" s="616"/>
    </row>
    <row r="105" spans="2:17" ht="16.350000000000001" customHeight="1" thickTop="1">
      <c r="B105" s="135"/>
      <c r="I105" s="135"/>
      <c r="J105" s="611">
        <v>0.40277777777777801</v>
      </c>
      <c r="K105" s="612">
        <v>3</v>
      </c>
      <c r="L105" s="615" t="s">
        <v>880</v>
      </c>
      <c r="M105" s="613"/>
      <c r="N105" s="616"/>
      <c r="O105" s="616"/>
    </row>
    <row r="106" spans="2:17" ht="16.350000000000001" customHeight="1">
      <c r="B106" s="135"/>
      <c r="I106" s="135"/>
      <c r="J106" s="611">
        <v>0.41666666666666702</v>
      </c>
      <c r="K106" s="617">
        <v>4</v>
      </c>
      <c r="L106" s="615" t="s">
        <v>881</v>
      </c>
      <c r="M106" s="613"/>
      <c r="N106" s="618"/>
      <c r="O106" s="618"/>
    </row>
    <row r="107" spans="2:17" ht="16.350000000000001" customHeight="1">
      <c r="B107" s="135"/>
      <c r="F107" s="136"/>
      <c r="I107" s="135"/>
      <c r="J107" s="611">
        <v>0.43055555555555558</v>
      </c>
      <c r="K107" s="617">
        <v>5</v>
      </c>
      <c r="L107" s="613" t="s">
        <v>882</v>
      </c>
      <c r="M107" s="613"/>
      <c r="N107" s="619"/>
      <c r="O107" s="620"/>
    </row>
    <row r="108" spans="2:17" ht="16.350000000000001" customHeight="1">
      <c r="B108" s="552" t="s">
        <v>278</v>
      </c>
      <c r="C108" s="552" t="s">
        <v>279</v>
      </c>
      <c r="D108" s="649" t="s">
        <v>309</v>
      </c>
      <c r="E108" s="650"/>
      <c r="F108" s="650"/>
      <c r="G108" s="651"/>
      <c r="I108" s="135"/>
      <c r="J108" s="621">
        <v>0.44444444444444442</v>
      </c>
      <c r="K108" s="622">
        <v>6</v>
      </c>
      <c r="L108" s="623" t="s">
        <v>883</v>
      </c>
      <c r="M108" s="613"/>
      <c r="N108" s="624"/>
      <c r="O108" s="613"/>
    </row>
    <row r="109" spans="2:17" ht="16.350000000000001" customHeight="1">
      <c r="B109" s="553" t="s">
        <v>298</v>
      </c>
      <c r="C109" s="553" t="s">
        <v>299</v>
      </c>
      <c r="D109" s="552" t="s">
        <v>166</v>
      </c>
      <c r="E109" s="552" t="s">
        <v>172</v>
      </c>
      <c r="F109" s="555"/>
      <c r="G109" s="554"/>
      <c r="I109" s="135"/>
      <c r="J109" s="652" t="s">
        <v>283</v>
      </c>
      <c r="K109" s="653"/>
      <c r="L109" s="653"/>
      <c r="M109" s="654"/>
      <c r="N109" s="655"/>
      <c r="O109" s="656"/>
    </row>
    <row r="110" spans="2:17" ht="16.350000000000001" customHeight="1">
      <c r="B110" s="561">
        <v>0.58333333333333337</v>
      </c>
      <c r="C110" s="592">
        <v>1</v>
      </c>
      <c r="D110" s="565" t="s">
        <v>884</v>
      </c>
      <c r="E110" s="565" t="s">
        <v>885</v>
      </c>
      <c r="F110" s="560"/>
      <c r="G110" s="557"/>
      <c r="I110" s="135"/>
      <c r="J110" s="625">
        <v>0.58333333333333337</v>
      </c>
      <c r="K110" s="613">
        <v>7</v>
      </c>
      <c r="L110" s="620" t="s">
        <v>886</v>
      </c>
      <c r="M110" s="613"/>
      <c r="N110" s="616"/>
      <c r="O110" s="616"/>
    </row>
    <row r="111" spans="2:17" ht="16.350000000000001" customHeight="1">
      <c r="B111" s="561">
        <v>0.59722222222222221</v>
      </c>
      <c r="C111" s="592">
        <v>2</v>
      </c>
      <c r="D111" s="565" t="s">
        <v>642</v>
      </c>
      <c r="E111" s="565" t="s">
        <v>887</v>
      </c>
      <c r="F111" s="560"/>
      <c r="G111" s="557"/>
      <c r="I111" s="135"/>
      <c r="J111" s="625">
        <v>0.59722222222222221</v>
      </c>
      <c r="K111" s="613">
        <v>8</v>
      </c>
      <c r="L111" s="620" t="s">
        <v>888</v>
      </c>
      <c r="M111" s="613"/>
      <c r="N111" s="616"/>
      <c r="O111" s="616"/>
    </row>
    <row r="112" spans="2:17" ht="16.350000000000001" customHeight="1">
      <c r="B112" s="561">
        <v>0.61111111111111105</v>
      </c>
      <c r="C112" s="592">
        <v>3</v>
      </c>
      <c r="D112" s="565" t="s">
        <v>889</v>
      </c>
      <c r="E112" s="565" t="s">
        <v>272</v>
      </c>
      <c r="F112" s="593"/>
      <c r="G112" s="554"/>
      <c r="I112" s="135"/>
      <c r="J112" s="625">
        <v>0.61111111111111105</v>
      </c>
      <c r="K112" s="613">
        <v>9</v>
      </c>
      <c r="L112" s="613" t="s">
        <v>890</v>
      </c>
      <c r="M112" s="613"/>
      <c r="N112" s="626"/>
      <c r="O112" s="613"/>
    </row>
    <row r="113" spans="2:17" ht="16.350000000000001" customHeight="1">
      <c r="B113" s="561">
        <v>0.625</v>
      </c>
      <c r="C113" s="592">
        <v>4</v>
      </c>
      <c r="D113" s="565" t="s">
        <v>891</v>
      </c>
      <c r="E113" s="565" t="s">
        <v>274</v>
      </c>
      <c r="F113" s="593"/>
      <c r="G113" s="554"/>
      <c r="I113" s="135"/>
      <c r="J113" s="625">
        <v>0.625</v>
      </c>
      <c r="K113" s="613">
        <v>10</v>
      </c>
      <c r="L113" s="613" t="s">
        <v>892</v>
      </c>
      <c r="M113" s="620"/>
      <c r="N113" s="613"/>
      <c r="O113" s="613"/>
    </row>
    <row r="114" spans="2:17" ht="16.350000000000001" customHeight="1">
      <c r="B114" s="561"/>
      <c r="C114" s="554"/>
      <c r="D114" s="555"/>
      <c r="E114" s="596"/>
      <c r="F114" s="554"/>
      <c r="G114" s="554"/>
      <c r="I114" s="135"/>
      <c r="J114" s="627">
        <v>0.63888888888888895</v>
      </c>
      <c r="K114" s="613">
        <v>11</v>
      </c>
      <c r="L114" s="613" t="s">
        <v>893</v>
      </c>
      <c r="M114" s="620"/>
      <c r="N114" s="613"/>
      <c r="O114" s="613"/>
    </row>
    <row r="115" spans="2:17" ht="16.5" customHeight="1">
      <c r="B115" s="561"/>
      <c r="C115" s="554"/>
      <c r="D115" s="557"/>
      <c r="E115" s="557"/>
      <c r="F115" s="554"/>
      <c r="G115" s="554"/>
      <c r="I115" s="135"/>
      <c r="J115" s="621">
        <v>0.65277777777777779</v>
      </c>
      <c r="K115" s="628">
        <v>12</v>
      </c>
      <c r="L115" s="629" t="s">
        <v>894</v>
      </c>
      <c r="M115" s="620"/>
      <c r="N115" s="613"/>
      <c r="O115" s="613"/>
    </row>
    <row r="116" spans="2:17" ht="16.5" customHeight="1">
      <c r="B116" s="135"/>
      <c r="C116" s="147"/>
    </row>
    <row r="117" spans="2:17">
      <c r="B117" s="135"/>
      <c r="C117" s="147"/>
      <c r="L117" s="136"/>
      <c r="M117" s="136"/>
    </row>
    <row r="118" spans="2:17" ht="17.25" customHeight="1" thickBot="1">
      <c r="B118" s="135"/>
      <c r="E118" s="138" t="s">
        <v>967</v>
      </c>
      <c r="F118" s="138"/>
      <c r="I118" s="135"/>
      <c r="J118" s="135"/>
      <c r="L118" s="138" t="s">
        <v>968</v>
      </c>
      <c r="M118" s="138"/>
      <c r="N118" s="138"/>
    </row>
    <row r="119" spans="2:17" ht="16.5" thickTop="1">
      <c r="B119" s="135"/>
      <c r="C119" s="139" t="s">
        <v>141</v>
      </c>
      <c r="D119" s="522" t="s">
        <v>277</v>
      </c>
      <c r="E119" s="523" t="s">
        <v>766</v>
      </c>
      <c r="F119" s="523" t="s">
        <v>767</v>
      </c>
      <c r="G119" s="524"/>
      <c r="I119" s="135"/>
      <c r="J119" s="670" t="s">
        <v>979</v>
      </c>
      <c r="K119" s="671"/>
      <c r="L119" s="671"/>
      <c r="M119" s="671"/>
      <c r="N119" s="671"/>
      <c r="O119" s="672"/>
      <c r="Q119" s="135"/>
    </row>
    <row r="120" spans="2:17">
      <c r="B120" s="135"/>
      <c r="C120" s="141"/>
      <c r="D120" s="525" t="s">
        <v>280</v>
      </c>
      <c r="E120" s="526" t="s">
        <v>768</v>
      </c>
      <c r="F120" s="526" t="s">
        <v>300</v>
      </c>
      <c r="G120" s="527"/>
      <c r="I120" s="135"/>
      <c r="J120" s="673"/>
      <c r="K120" s="674"/>
      <c r="L120" s="674"/>
      <c r="M120" s="674"/>
      <c r="N120" s="674"/>
      <c r="O120" s="675"/>
      <c r="Q120" s="135"/>
    </row>
    <row r="121" spans="2:17">
      <c r="B121" s="143"/>
      <c r="C121" s="141"/>
      <c r="D121" s="525" t="s">
        <v>282</v>
      </c>
      <c r="E121" s="525" t="s">
        <v>281</v>
      </c>
      <c r="F121" s="525" t="s">
        <v>769</v>
      </c>
      <c r="G121" s="527"/>
      <c r="I121" s="135"/>
      <c r="J121" s="673"/>
      <c r="K121" s="674"/>
      <c r="L121" s="674"/>
      <c r="M121" s="674"/>
      <c r="N121" s="674"/>
      <c r="O121" s="675"/>
    </row>
    <row r="122" spans="2:17" ht="16.5" thickBot="1">
      <c r="B122" s="135"/>
      <c r="C122" s="145"/>
      <c r="D122" s="528" t="s">
        <v>301</v>
      </c>
      <c r="E122" s="529" t="s">
        <v>156</v>
      </c>
      <c r="F122" s="529" t="s">
        <v>770</v>
      </c>
      <c r="G122" s="530"/>
      <c r="I122" s="135"/>
      <c r="J122" s="673"/>
      <c r="K122" s="674"/>
      <c r="L122" s="674"/>
      <c r="M122" s="674"/>
      <c r="N122" s="674"/>
      <c r="O122" s="675"/>
    </row>
    <row r="123" spans="2:17" ht="16.5" thickTop="1">
      <c r="B123" s="135"/>
      <c r="I123" s="135"/>
      <c r="J123" s="673"/>
      <c r="K123" s="674"/>
      <c r="L123" s="674"/>
      <c r="M123" s="674"/>
      <c r="N123" s="674"/>
      <c r="O123" s="675"/>
    </row>
    <row r="124" spans="2:17" ht="16.5" customHeight="1">
      <c r="B124" s="135"/>
      <c r="I124" s="135"/>
      <c r="J124" s="673"/>
      <c r="K124" s="674"/>
      <c r="L124" s="674"/>
      <c r="M124" s="674"/>
      <c r="N124" s="674"/>
      <c r="O124" s="675"/>
    </row>
    <row r="125" spans="2:17">
      <c r="B125" s="135"/>
      <c r="F125" s="136"/>
      <c r="I125" s="135"/>
      <c r="J125" s="673"/>
      <c r="K125" s="674"/>
      <c r="L125" s="674"/>
      <c r="M125" s="674"/>
      <c r="N125" s="674"/>
      <c r="O125" s="675"/>
    </row>
    <row r="126" spans="2:17" ht="17.25" customHeight="1">
      <c r="B126" s="670" t="s">
        <v>979</v>
      </c>
      <c r="C126" s="671"/>
      <c r="D126" s="671"/>
      <c r="E126" s="671"/>
      <c r="F126" s="671"/>
      <c r="G126" s="672"/>
      <c r="I126" s="135"/>
      <c r="J126" s="673"/>
      <c r="K126" s="674"/>
      <c r="L126" s="674"/>
      <c r="M126" s="674"/>
      <c r="N126" s="674"/>
      <c r="O126" s="675"/>
    </row>
    <row r="127" spans="2:17" ht="15.6" customHeight="1">
      <c r="B127" s="673"/>
      <c r="C127" s="674"/>
      <c r="D127" s="674"/>
      <c r="E127" s="674"/>
      <c r="F127" s="674"/>
      <c r="G127" s="675"/>
      <c r="I127" s="135"/>
      <c r="J127" s="673"/>
      <c r="K127" s="674"/>
      <c r="L127" s="674"/>
      <c r="M127" s="674"/>
      <c r="N127" s="674"/>
      <c r="O127" s="675"/>
    </row>
    <row r="128" spans="2:17" ht="15.6" customHeight="1">
      <c r="B128" s="673"/>
      <c r="C128" s="674"/>
      <c r="D128" s="674"/>
      <c r="E128" s="674"/>
      <c r="F128" s="674"/>
      <c r="G128" s="675"/>
      <c r="I128" s="135"/>
      <c r="J128" s="673"/>
      <c r="K128" s="674"/>
      <c r="L128" s="674"/>
      <c r="M128" s="674"/>
      <c r="N128" s="674"/>
      <c r="O128" s="675"/>
    </row>
    <row r="129" spans="2:16" ht="15.6" customHeight="1">
      <c r="B129" s="673"/>
      <c r="C129" s="674"/>
      <c r="D129" s="674"/>
      <c r="E129" s="674"/>
      <c r="F129" s="674"/>
      <c r="G129" s="675"/>
      <c r="I129" s="135"/>
      <c r="J129" s="673"/>
      <c r="K129" s="674"/>
      <c r="L129" s="674"/>
      <c r="M129" s="674"/>
      <c r="N129" s="674"/>
      <c r="O129" s="675"/>
    </row>
    <row r="130" spans="2:16" ht="15.6" customHeight="1">
      <c r="B130" s="673"/>
      <c r="C130" s="674"/>
      <c r="D130" s="674"/>
      <c r="E130" s="674"/>
      <c r="F130" s="674"/>
      <c r="G130" s="675"/>
      <c r="I130" s="135"/>
      <c r="J130" s="676"/>
      <c r="K130" s="677"/>
      <c r="L130" s="677"/>
      <c r="M130" s="677"/>
      <c r="N130" s="677"/>
      <c r="O130" s="678"/>
    </row>
    <row r="131" spans="2:16" ht="15.6" customHeight="1">
      <c r="B131" s="673"/>
      <c r="C131" s="674"/>
      <c r="D131" s="674"/>
      <c r="E131" s="674"/>
      <c r="F131" s="674"/>
      <c r="G131" s="675"/>
      <c r="I131" s="135"/>
      <c r="J131" s="143"/>
      <c r="K131" s="135"/>
      <c r="M131" s="91"/>
      <c r="N131" s="135"/>
    </row>
    <row r="132" spans="2:16" ht="15.6" customHeight="1">
      <c r="B132" s="673"/>
      <c r="C132" s="674"/>
      <c r="D132" s="674"/>
      <c r="E132" s="674"/>
      <c r="F132" s="674"/>
      <c r="G132" s="675"/>
      <c r="I132" s="135"/>
      <c r="J132" s="135"/>
      <c r="L132" s="136"/>
      <c r="M132" s="136"/>
    </row>
    <row r="133" spans="2:16" ht="15.6" customHeight="1">
      <c r="B133" s="676"/>
      <c r="C133" s="677"/>
      <c r="D133" s="677"/>
      <c r="E133" s="677"/>
      <c r="F133" s="677"/>
      <c r="G133" s="678"/>
      <c r="I133" s="135"/>
      <c r="J133" s="135"/>
      <c r="L133" s="136"/>
      <c r="M133" s="136"/>
    </row>
    <row r="134" spans="2:16">
      <c r="C134" s="147"/>
      <c r="I134" s="91"/>
      <c r="L134" s="136"/>
      <c r="M134" s="136"/>
    </row>
    <row r="135" spans="2:16" ht="16.5" customHeight="1">
      <c r="B135" s="135"/>
      <c r="C135" s="147"/>
      <c r="H135" s="91"/>
      <c r="L135" s="136"/>
      <c r="M135" s="136"/>
    </row>
    <row r="136" spans="2:16">
      <c r="B136" s="135"/>
      <c r="C136" s="147"/>
      <c r="I136" s="135"/>
      <c r="L136" s="136"/>
      <c r="M136" s="136"/>
    </row>
    <row r="137" spans="2:16" ht="17.25" customHeight="1" thickBot="1">
      <c r="B137" s="135"/>
      <c r="E137" s="138" t="s">
        <v>969</v>
      </c>
      <c r="F137" s="138"/>
      <c r="I137" s="135"/>
      <c r="J137" s="135"/>
      <c r="L137" s="589" t="s">
        <v>970</v>
      </c>
      <c r="M137" s="589"/>
      <c r="N137" s="589"/>
    </row>
    <row r="138" spans="2:16" ht="16.350000000000001" customHeight="1" thickTop="1">
      <c r="B138" s="135"/>
      <c r="C138" s="139" t="s">
        <v>141</v>
      </c>
      <c r="D138" s="522" t="s">
        <v>277</v>
      </c>
      <c r="E138" s="523" t="s">
        <v>766</v>
      </c>
      <c r="F138" s="523" t="s">
        <v>767</v>
      </c>
      <c r="G138" s="524"/>
      <c r="I138" s="135"/>
      <c r="J138" s="670" t="s">
        <v>979</v>
      </c>
      <c r="K138" s="671"/>
      <c r="L138" s="671"/>
      <c r="M138" s="671"/>
      <c r="N138" s="671"/>
      <c r="O138" s="672"/>
      <c r="P138" s="136"/>
    </row>
    <row r="139" spans="2:16" ht="15.6" customHeight="1">
      <c r="B139" s="135"/>
      <c r="C139" s="141"/>
      <c r="D139" s="525" t="s">
        <v>280</v>
      </c>
      <c r="E139" s="526" t="s">
        <v>768</v>
      </c>
      <c r="F139" s="526" t="s">
        <v>300</v>
      </c>
      <c r="G139" s="527"/>
      <c r="I139" s="135"/>
      <c r="J139" s="673"/>
      <c r="K139" s="674"/>
      <c r="L139" s="674"/>
      <c r="M139" s="674"/>
      <c r="N139" s="674"/>
      <c r="O139" s="675"/>
      <c r="P139" s="136"/>
    </row>
    <row r="140" spans="2:16" ht="15.6" customHeight="1">
      <c r="B140" s="143"/>
      <c r="C140" s="141"/>
      <c r="D140" s="525" t="s">
        <v>282</v>
      </c>
      <c r="E140" s="525" t="s">
        <v>281</v>
      </c>
      <c r="F140" s="525" t="s">
        <v>769</v>
      </c>
      <c r="G140" s="527"/>
      <c r="I140" s="135"/>
      <c r="J140" s="673"/>
      <c r="K140" s="674"/>
      <c r="L140" s="674"/>
      <c r="M140" s="674"/>
      <c r="N140" s="674"/>
      <c r="O140" s="675"/>
    </row>
    <row r="141" spans="2:16" ht="16.350000000000001" customHeight="1" thickBot="1">
      <c r="B141" s="135"/>
      <c r="C141" s="145"/>
      <c r="D141" s="528" t="s">
        <v>301</v>
      </c>
      <c r="E141" s="529" t="s">
        <v>156</v>
      </c>
      <c r="F141" s="529" t="s">
        <v>770</v>
      </c>
      <c r="G141" s="530"/>
      <c r="I141" s="135"/>
      <c r="J141" s="673"/>
      <c r="K141" s="674"/>
      <c r="L141" s="674"/>
      <c r="M141" s="674"/>
      <c r="N141" s="674"/>
      <c r="O141" s="675"/>
    </row>
    <row r="142" spans="2:16" ht="16.350000000000001" customHeight="1" thickTop="1">
      <c r="B142" s="135"/>
      <c r="I142" s="135"/>
      <c r="J142" s="673"/>
      <c r="K142" s="674"/>
      <c r="L142" s="674"/>
      <c r="M142" s="674"/>
      <c r="N142" s="674"/>
      <c r="O142" s="675"/>
    </row>
    <row r="143" spans="2:16" ht="16.5" customHeight="1">
      <c r="B143" s="135"/>
      <c r="I143" s="135"/>
      <c r="J143" s="673"/>
      <c r="K143" s="674"/>
      <c r="L143" s="674"/>
      <c r="M143" s="674"/>
      <c r="N143" s="674"/>
      <c r="O143" s="675"/>
    </row>
    <row r="144" spans="2:16" ht="15.6" customHeight="1">
      <c r="B144" s="135"/>
      <c r="F144" s="136"/>
      <c r="I144" s="135"/>
      <c r="J144" s="673"/>
      <c r="K144" s="674"/>
      <c r="L144" s="674"/>
      <c r="M144" s="674"/>
      <c r="N144" s="674"/>
      <c r="O144" s="675"/>
    </row>
    <row r="145" spans="2:15" ht="17.25" customHeight="1">
      <c r="B145" s="670" t="s">
        <v>979</v>
      </c>
      <c r="C145" s="671"/>
      <c r="D145" s="671"/>
      <c r="E145" s="671"/>
      <c r="F145" s="671"/>
      <c r="G145" s="672"/>
      <c r="H145" s="136"/>
      <c r="I145" s="135"/>
      <c r="J145" s="673"/>
      <c r="K145" s="674"/>
      <c r="L145" s="674"/>
      <c r="M145" s="674"/>
      <c r="N145" s="674"/>
      <c r="O145" s="675"/>
    </row>
    <row r="146" spans="2:15" ht="15.6" customHeight="1">
      <c r="B146" s="673"/>
      <c r="C146" s="674"/>
      <c r="D146" s="674"/>
      <c r="E146" s="674"/>
      <c r="F146" s="674"/>
      <c r="G146" s="675"/>
      <c r="I146" s="135"/>
      <c r="J146" s="673"/>
      <c r="K146" s="674"/>
      <c r="L146" s="674"/>
      <c r="M146" s="674"/>
      <c r="N146" s="674"/>
      <c r="O146" s="675"/>
    </row>
    <row r="147" spans="2:15" ht="15.6" customHeight="1">
      <c r="B147" s="673"/>
      <c r="C147" s="674"/>
      <c r="D147" s="674"/>
      <c r="E147" s="674"/>
      <c r="F147" s="674"/>
      <c r="G147" s="675"/>
      <c r="I147" s="135"/>
      <c r="J147" s="673"/>
      <c r="K147" s="674"/>
      <c r="L147" s="674"/>
      <c r="M147" s="674"/>
      <c r="N147" s="674"/>
      <c r="O147" s="675"/>
    </row>
    <row r="148" spans="2:15" ht="15.6" customHeight="1">
      <c r="B148" s="673"/>
      <c r="C148" s="674"/>
      <c r="D148" s="674"/>
      <c r="E148" s="674"/>
      <c r="F148" s="674"/>
      <c r="G148" s="675"/>
      <c r="I148" s="135"/>
      <c r="J148" s="673"/>
      <c r="K148" s="674"/>
      <c r="L148" s="674"/>
      <c r="M148" s="674"/>
      <c r="N148" s="674"/>
      <c r="O148" s="675"/>
    </row>
    <row r="149" spans="2:15" ht="15.6" customHeight="1">
      <c r="B149" s="673"/>
      <c r="C149" s="674"/>
      <c r="D149" s="674"/>
      <c r="E149" s="674"/>
      <c r="F149" s="674"/>
      <c r="G149" s="675"/>
      <c r="I149" s="135"/>
      <c r="J149" s="676"/>
      <c r="K149" s="677"/>
      <c r="L149" s="677"/>
      <c r="M149" s="677"/>
      <c r="N149" s="677"/>
      <c r="O149" s="678"/>
    </row>
    <row r="150" spans="2:15">
      <c r="B150" s="673"/>
      <c r="C150" s="674"/>
      <c r="D150" s="674"/>
      <c r="E150" s="674"/>
      <c r="F150" s="674"/>
      <c r="G150" s="675"/>
      <c r="I150" s="135"/>
      <c r="J150" s="143"/>
      <c r="K150" s="135"/>
      <c r="M150" s="91"/>
      <c r="N150" s="135"/>
    </row>
    <row r="151" spans="2:15">
      <c r="B151" s="673"/>
      <c r="C151" s="674"/>
      <c r="D151" s="674"/>
      <c r="E151" s="674"/>
      <c r="F151" s="674"/>
      <c r="G151" s="675"/>
      <c r="I151" s="135"/>
      <c r="J151" s="135"/>
      <c r="L151" s="136"/>
      <c r="M151" s="136"/>
    </row>
    <row r="152" spans="2:15">
      <c r="B152" s="676"/>
      <c r="C152" s="677"/>
      <c r="D152" s="677"/>
      <c r="E152" s="677"/>
      <c r="F152" s="677"/>
      <c r="G152" s="678"/>
      <c r="I152" s="135"/>
      <c r="J152" s="135"/>
      <c r="L152" s="136"/>
      <c r="M152" s="136"/>
    </row>
    <row r="153" spans="2:15">
      <c r="C153" s="147"/>
      <c r="L153" s="136"/>
      <c r="M153" s="136"/>
    </row>
    <row r="154" spans="2:15">
      <c r="C154" s="147"/>
      <c r="L154" s="136"/>
      <c r="M154" s="136"/>
    </row>
    <row r="155" spans="2:15" ht="17.25" customHeight="1" thickBot="1">
      <c r="B155" s="135"/>
      <c r="E155" s="138" t="s">
        <v>971</v>
      </c>
      <c r="F155" s="138"/>
      <c r="I155" s="135"/>
      <c r="J155" s="135"/>
      <c r="L155" s="138" t="s">
        <v>972</v>
      </c>
      <c r="M155" s="138"/>
      <c r="N155" s="138"/>
    </row>
    <row r="156" spans="2:15" ht="16.5" thickTop="1">
      <c r="B156" s="135"/>
      <c r="C156" s="139" t="s">
        <v>141</v>
      </c>
      <c r="D156" s="522" t="s">
        <v>277</v>
      </c>
      <c r="E156" s="523" t="s">
        <v>766</v>
      </c>
      <c r="F156" s="523" t="s">
        <v>767</v>
      </c>
      <c r="G156" s="524"/>
      <c r="I156" s="135"/>
      <c r="J156" s="572" t="s">
        <v>278</v>
      </c>
      <c r="K156" s="572" t="s">
        <v>279</v>
      </c>
      <c r="L156" s="679" t="s">
        <v>309</v>
      </c>
      <c r="M156" s="680"/>
      <c r="N156" s="680"/>
      <c r="O156" s="681"/>
    </row>
    <row r="157" spans="2:15">
      <c r="B157" s="135"/>
      <c r="C157" s="141"/>
      <c r="D157" s="525" t="s">
        <v>280</v>
      </c>
      <c r="E157" s="526" t="s">
        <v>768</v>
      </c>
      <c r="F157" s="526" t="s">
        <v>300</v>
      </c>
      <c r="G157" s="527"/>
      <c r="I157" s="135"/>
      <c r="J157" s="573" t="s">
        <v>298</v>
      </c>
      <c r="K157" s="574" t="s">
        <v>299</v>
      </c>
      <c r="L157" s="575" t="s">
        <v>166</v>
      </c>
      <c r="M157" s="575" t="s">
        <v>172</v>
      </c>
      <c r="N157" s="575"/>
      <c r="O157" s="575"/>
    </row>
    <row r="158" spans="2:15">
      <c r="B158" s="143"/>
      <c r="C158" s="141"/>
      <c r="D158" s="525" t="s">
        <v>282</v>
      </c>
      <c r="E158" s="525" t="s">
        <v>281</v>
      </c>
      <c r="F158" s="525" t="s">
        <v>769</v>
      </c>
      <c r="G158" s="527"/>
      <c r="I158" s="135"/>
      <c r="J158" s="576">
        <v>0.39583333333333331</v>
      </c>
      <c r="K158" s="577">
        <v>1</v>
      </c>
      <c r="L158" s="575" t="s">
        <v>973</v>
      </c>
      <c r="M158" s="575" t="s">
        <v>205</v>
      </c>
      <c r="N158" s="578"/>
      <c r="O158" s="579"/>
    </row>
    <row r="159" spans="2:15" ht="16.5" thickBot="1">
      <c r="B159" s="135"/>
      <c r="C159" s="145"/>
      <c r="D159" s="528" t="s">
        <v>301</v>
      </c>
      <c r="E159" s="529" t="s">
        <v>156</v>
      </c>
      <c r="F159" s="529" t="s">
        <v>770</v>
      </c>
      <c r="G159" s="530"/>
      <c r="I159" s="135"/>
      <c r="J159" s="580">
        <v>0.40972222222222227</v>
      </c>
      <c r="K159" s="581">
        <v>2</v>
      </c>
      <c r="L159" s="579" t="s">
        <v>974</v>
      </c>
      <c r="M159" s="579" t="s">
        <v>209</v>
      </c>
      <c r="N159" s="579"/>
      <c r="O159" s="579"/>
    </row>
    <row r="160" spans="2:15" ht="16.5" thickTop="1">
      <c r="B160" s="135"/>
      <c r="I160" s="135"/>
      <c r="J160" s="580">
        <v>0.4236111111111111</v>
      </c>
      <c r="K160" s="582">
        <v>3</v>
      </c>
      <c r="L160" s="579" t="s">
        <v>975</v>
      </c>
      <c r="M160" s="579" t="s">
        <v>213</v>
      </c>
      <c r="N160" s="579"/>
      <c r="O160" s="579"/>
    </row>
    <row r="161" spans="2:16" ht="16.5" customHeight="1">
      <c r="B161" s="135"/>
      <c r="I161" s="135"/>
      <c r="J161" s="580">
        <v>0.4375</v>
      </c>
      <c r="K161" s="583">
        <v>4</v>
      </c>
      <c r="L161" s="579" t="s">
        <v>976</v>
      </c>
      <c r="M161" s="579" t="s">
        <v>218</v>
      </c>
      <c r="N161" s="579"/>
      <c r="O161" s="579"/>
    </row>
    <row r="162" spans="2:16">
      <c r="B162" s="135"/>
      <c r="F162" s="136"/>
      <c r="I162" s="135"/>
      <c r="J162" s="584"/>
      <c r="K162" s="582"/>
      <c r="L162" s="579"/>
      <c r="M162" s="585"/>
      <c r="N162" s="579"/>
      <c r="O162" s="579"/>
    </row>
    <row r="163" spans="2:16" ht="17.25" customHeight="1">
      <c r="B163" s="670" t="s">
        <v>979</v>
      </c>
      <c r="C163" s="671"/>
      <c r="D163" s="671"/>
      <c r="E163" s="671"/>
      <c r="F163" s="671"/>
      <c r="G163" s="672"/>
      <c r="I163" s="135"/>
      <c r="J163" s="682" t="s">
        <v>283</v>
      </c>
      <c r="K163" s="683"/>
      <c r="L163" s="683"/>
      <c r="M163" s="683"/>
      <c r="N163" s="683"/>
      <c r="O163" s="684"/>
    </row>
    <row r="164" spans="2:16">
      <c r="B164" s="673"/>
      <c r="C164" s="674"/>
      <c r="D164" s="674"/>
      <c r="E164" s="674"/>
      <c r="F164" s="674"/>
      <c r="G164" s="675"/>
      <c r="I164" s="135"/>
      <c r="J164" s="144">
        <v>0.58333333333333337</v>
      </c>
      <c r="K164" s="582">
        <v>6</v>
      </c>
      <c r="L164" s="579" t="s">
        <v>977</v>
      </c>
      <c r="M164" s="579" t="s">
        <v>208</v>
      </c>
      <c r="N164" s="586"/>
      <c r="O164" s="586"/>
    </row>
    <row r="165" spans="2:16">
      <c r="B165" s="673"/>
      <c r="C165" s="674"/>
      <c r="D165" s="674"/>
      <c r="E165" s="674"/>
      <c r="F165" s="674"/>
      <c r="G165" s="675"/>
      <c r="I165" s="135"/>
      <c r="J165" s="144">
        <v>0.59722222222222221</v>
      </c>
      <c r="K165" s="582">
        <v>7</v>
      </c>
      <c r="L165" s="579" t="s">
        <v>978</v>
      </c>
      <c r="M165" s="579" t="s">
        <v>216</v>
      </c>
      <c r="N165" s="586"/>
      <c r="O165" s="586"/>
    </row>
    <row r="166" spans="2:16">
      <c r="B166" s="673"/>
      <c r="C166" s="674"/>
      <c r="D166" s="674"/>
      <c r="E166" s="674"/>
      <c r="F166" s="674"/>
      <c r="G166" s="675"/>
      <c r="I166" s="135"/>
      <c r="J166" s="144"/>
      <c r="K166" s="582"/>
      <c r="L166" s="579"/>
      <c r="M166" s="585"/>
      <c r="N166" s="586"/>
      <c r="O166" s="586"/>
    </row>
    <row r="167" spans="2:16">
      <c r="B167" s="673"/>
      <c r="C167" s="674"/>
      <c r="D167" s="674"/>
      <c r="E167" s="674"/>
      <c r="F167" s="674"/>
      <c r="G167" s="675"/>
      <c r="I167" s="135"/>
      <c r="J167" s="146"/>
      <c r="K167" s="582"/>
      <c r="L167" s="579"/>
      <c r="M167" s="585"/>
      <c r="N167" s="587"/>
      <c r="O167" s="588"/>
    </row>
    <row r="168" spans="2:16">
      <c r="B168" s="673"/>
      <c r="C168" s="674"/>
      <c r="D168" s="674"/>
      <c r="E168" s="674"/>
      <c r="F168" s="674"/>
      <c r="G168" s="675"/>
      <c r="I168" s="135"/>
      <c r="J168" s="143"/>
      <c r="K168" s="135"/>
      <c r="M168" s="91"/>
      <c r="N168" s="135"/>
    </row>
    <row r="169" spans="2:16">
      <c r="B169" s="673"/>
      <c r="C169" s="674"/>
      <c r="D169" s="674"/>
      <c r="E169" s="674"/>
      <c r="F169" s="674"/>
      <c r="G169" s="675"/>
      <c r="I169" s="135"/>
      <c r="J169" s="135"/>
      <c r="L169" s="136"/>
      <c r="M169" s="136"/>
    </row>
    <row r="170" spans="2:16">
      <c r="B170" s="676"/>
      <c r="C170" s="677"/>
      <c r="D170" s="677"/>
      <c r="E170" s="677"/>
      <c r="F170" s="677"/>
      <c r="G170" s="678"/>
      <c r="I170" s="135"/>
      <c r="J170" s="135"/>
      <c r="L170" s="136"/>
      <c r="M170" s="136"/>
    </row>
    <row r="171" spans="2:16" hidden="1">
      <c r="B171" s="590"/>
      <c r="C171" s="142"/>
      <c r="D171" s="547"/>
      <c r="E171" s="547"/>
      <c r="F171" s="142"/>
      <c r="G171" s="142"/>
      <c r="I171" s="135"/>
      <c r="J171" s="135"/>
      <c r="L171" s="136"/>
      <c r="M171" s="136"/>
    </row>
    <row r="172" spans="2:16">
      <c r="B172" s="603"/>
      <c r="C172" s="604"/>
      <c r="D172" s="605"/>
      <c r="E172" s="605"/>
      <c r="F172" s="604"/>
      <c r="G172" s="604"/>
      <c r="H172" s="601"/>
      <c r="I172" s="601"/>
      <c r="J172" s="601"/>
      <c r="L172" s="136"/>
      <c r="M172" s="136"/>
      <c r="O172" s="601"/>
      <c r="P172" s="601"/>
    </row>
    <row r="173" spans="2:16">
      <c r="B173" s="603"/>
      <c r="C173" s="604"/>
      <c r="D173" s="605"/>
      <c r="E173" s="605"/>
      <c r="F173" s="604"/>
      <c r="G173" s="604"/>
      <c r="H173" s="601"/>
      <c r="I173" s="601"/>
      <c r="J173" s="601"/>
      <c r="L173" s="136"/>
      <c r="M173" s="136"/>
      <c r="O173" s="601"/>
      <c r="P173" s="601"/>
    </row>
    <row r="174" spans="2:16">
      <c r="C174" s="601"/>
      <c r="D174" s="601"/>
      <c r="E174" s="601"/>
      <c r="F174" s="601"/>
      <c r="G174" s="601"/>
      <c r="H174" s="601"/>
      <c r="L174" s="601"/>
      <c r="M174" s="601"/>
      <c r="O174" s="601"/>
    </row>
    <row r="175" spans="2:16" ht="17.25" thickBot="1">
      <c r="B175" s="601"/>
      <c r="C175" s="601"/>
      <c r="D175" s="601"/>
      <c r="E175" s="138" t="s">
        <v>1039</v>
      </c>
      <c r="F175" s="138"/>
      <c r="G175" s="601"/>
      <c r="H175" s="601"/>
      <c r="I175" s="601"/>
      <c r="J175" s="601"/>
      <c r="L175" s="138" t="s">
        <v>1040</v>
      </c>
      <c r="M175" s="138"/>
      <c r="N175" s="138"/>
      <c r="O175" s="601"/>
    </row>
    <row r="176" spans="2:16" ht="16.5" thickTop="1">
      <c r="B176" s="601"/>
      <c r="C176" s="139" t="s">
        <v>141</v>
      </c>
      <c r="D176" s="522" t="s">
        <v>277</v>
      </c>
      <c r="E176" s="523" t="s">
        <v>766</v>
      </c>
      <c r="F176" s="523" t="s">
        <v>767</v>
      </c>
      <c r="G176" s="524"/>
      <c r="H176" s="601"/>
      <c r="I176" s="601"/>
      <c r="J176" s="670" t="s">
        <v>979</v>
      </c>
      <c r="K176" s="671"/>
      <c r="L176" s="671"/>
      <c r="M176" s="671"/>
      <c r="N176" s="671"/>
      <c r="O176" s="672"/>
    </row>
    <row r="177" spans="2:15">
      <c r="B177" s="601"/>
      <c r="C177" s="141"/>
      <c r="D177" s="525" t="s">
        <v>280</v>
      </c>
      <c r="E177" s="526" t="s">
        <v>1041</v>
      </c>
      <c r="F177" s="526" t="s">
        <v>1042</v>
      </c>
      <c r="G177" s="527"/>
      <c r="H177" s="601"/>
      <c r="I177" s="601"/>
      <c r="J177" s="673"/>
      <c r="K177" s="674"/>
      <c r="L177" s="674"/>
      <c r="M177" s="674"/>
      <c r="N177" s="674"/>
      <c r="O177" s="675"/>
    </row>
    <row r="178" spans="2:15">
      <c r="B178" s="143"/>
      <c r="C178" s="141"/>
      <c r="D178" s="525" t="s">
        <v>282</v>
      </c>
      <c r="E178" s="525" t="s">
        <v>281</v>
      </c>
      <c r="F178" s="525" t="s">
        <v>769</v>
      </c>
      <c r="G178" s="527"/>
      <c r="H178" s="601"/>
      <c r="I178" s="601"/>
      <c r="J178" s="673"/>
      <c r="K178" s="674"/>
      <c r="L178" s="674"/>
      <c r="M178" s="674"/>
      <c r="N178" s="674"/>
      <c r="O178" s="675"/>
    </row>
    <row r="179" spans="2:15" ht="16.5" thickBot="1">
      <c r="B179" s="601"/>
      <c r="C179" s="145"/>
      <c r="D179" s="528" t="s">
        <v>301</v>
      </c>
      <c r="E179" s="529" t="s">
        <v>156</v>
      </c>
      <c r="F179" s="529" t="s">
        <v>770</v>
      </c>
      <c r="G179" s="530"/>
      <c r="H179" s="601"/>
      <c r="I179" s="601"/>
      <c r="J179" s="673"/>
      <c r="K179" s="674"/>
      <c r="L179" s="674"/>
      <c r="M179" s="674"/>
      <c r="N179" s="674"/>
      <c r="O179" s="675"/>
    </row>
    <row r="180" spans="2:15" ht="16.5" thickTop="1">
      <c r="B180" s="601"/>
      <c r="C180" s="601"/>
      <c r="D180" s="601"/>
      <c r="E180" s="601"/>
      <c r="F180" s="601"/>
      <c r="G180" s="601"/>
      <c r="H180" s="601"/>
      <c r="I180" s="601"/>
      <c r="J180" s="673"/>
      <c r="K180" s="674"/>
      <c r="L180" s="674"/>
      <c r="M180" s="674"/>
      <c r="N180" s="674"/>
      <c r="O180" s="675"/>
    </row>
    <row r="181" spans="2:15">
      <c r="B181" s="601"/>
      <c r="C181" s="601"/>
      <c r="D181" s="601"/>
      <c r="E181" s="601"/>
      <c r="F181" s="601"/>
      <c r="G181" s="601"/>
      <c r="H181" s="601"/>
      <c r="I181" s="601"/>
      <c r="J181" s="673"/>
      <c r="K181" s="674"/>
      <c r="L181" s="674"/>
      <c r="M181" s="674"/>
      <c r="N181" s="674"/>
      <c r="O181" s="675"/>
    </row>
    <row r="182" spans="2:15">
      <c r="B182" s="601"/>
      <c r="C182" s="601"/>
      <c r="D182" s="601"/>
      <c r="E182" s="601"/>
      <c r="F182" s="136"/>
      <c r="G182" s="601"/>
      <c r="H182" s="601"/>
      <c r="I182" s="601"/>
      <c r="J182" s="673"/>
      <c r="K182" s="674"/>
      <c r="L182" s="674"/>
      <c r="M182" s="674"/>
      <c r="N182" s="674"/>
      <c r="O182" s="675"/>
    </row>
    <row r="183" spans="2:15">
      <c r="B183" s="140" t="s">
        <v>278</v>
      </c>
      <c r="C183" s="140" t="s">
        <v>279</v>
      </c>
      <c r="D183" s="685" t="s">
        <v>309</v>
      </c>
      <c r="E183" s="686"/>
      <c r="F183" s="686"/>
      <c r="G183" s="687"/>
      <c r="H183" s="601"/>
      <c r="I183" s="601"/>
      <c r="J183" s="673"/>
      <c r="K183" s="674"/>
      <c r="L183" s="674"/>
      <c r="M183" s="674"/>
      <c r="N183" s="674"/>
      <c r="O183" s="675"/>
    </row>
    <row r="184" spans="2:15">
      <c r="B184" s="606" t="s">
        <v>298</v>
      </c>
      <c r="C184" s="606" t="s">
        <v>299</v>
      </c>
      <c r="D184" s="607" t="s">
        <v>166</v>
      </c>
      <c r="E184" s="607" t="s">
        <v>172</v>
      </c>
      <c r="F184" s="142"/>
      <c r="G184" s="607"/>
      <c r="H184" s="601"/>
      <c r="I184" s="601"/>
      <c r="J184" s="673"/>
      <c r="K184" s="674"/>
      <c r="L184" s="674"/>
      <c r="M184" s="674"/>
      <c r="N184" s="674"/>
      <c r="O184" s="675"/>
    </row>
    <row r="185" spans="2:15">
      <c r="B185" s="146">
        <v>0.58333333333333337</v>
      </c>
      <c r="C185" s="607">
        <v>1</v>
      </c>
      <c r="D185" s="34" t="s">
        <v>1043</v>
      </c>
      <c r="E185" s="34"/>
      <c r="F185" s="34"/>
      <c r="G185" s="34"/>
      <c r="H185" s="601"/>
      <c r="I185" s="601"/>
      <c r="J185" s="673"/>
      <c r="K185" s="674"/>
      <c r="L185" s="674"/>
      <c r="M185" s="674"/>
      <c r="N185" s="674"/>
      <c r="O185" s="675"/>
    </row>
    <row r="186" spans="2:15">
      <c r="B186" s="146">
        <v>0.59722222222222221</v>
      </c>
      <c r="C186" s="607">
        <v>2</v>
      </c>
      <c r="D186" s="34" t="s">
        <v>1044</v>
      </c>
      <c r="E186" s="34"/>
      <c r="F186" s="34"/>
      <c r="G186" s="34"/>
      <c r="H186" s="601"/>
      <c r="I186" s="601"/>
      <c r="J186" s="673"/>
      <c r="K186" s="674"/>
      <c r="L186" s="674"/>
      <c r="M186" s="674"/>
      <c r="N186" s="674"/>
      <c r="O186" s="675"/>
    </row>
    <row r="187" spans="2:15">
      <c r="B187" s="146">
        <v>0.61111111111111105</v>
      </c>
      <c r="C187" s="607">
        <v>3</v>
      </c>
      <c r="D187" s="34" t="s">
        <v>1045</v>
      </c>
      <c r="E187" s="34"/>
      <c r="F187" s="607"/>
      <c r="G187" s="607"/>
      <c r="H187" s="601"/>
      <c r="I187" s="601"/>
      <c r="J187" s="676"/>
      <c r="K187" s="677"/>
      <c r="L187" s="677"/>
      <c r="M187" s="677"/>
      <c r="N187" s="677"/>
      <c r="O187" s="678"/>
    </row>
    <row r="188" spans="2:15">
      <c r="B188" s="146">
        <v>0.625</v>
      </c>
      <c r="C188" s="607">
        <v>4</v>
      </c>
      <c r="D188" s="34" t="s">
        <v>1046</v>
      </c>
      <c r="E188" s="607"/>
      <c r="F188" s="607"/>
      <c r="G188" s="607"/>
      <c r="H188" s="601"/>
      <c r="I188" s="601"/>
      <c r="J188" s="143"/>
      <c r="K188" s="601"/>
      <c r="L188" s="601"/>
      <c r="M188" s="91"/>
      <c r="N188" s="601"/>
      <c r="O188" s="601"/>
    </row>
    <row r="189" spans="2:15">
      <c r="B189" s="146"/>
      <c r="C189" s="607"/>
      <c r="D189" s="607"/>
      <c r="E189" s="34"/>
      <c r="F189" s="607"/>
      <c r="G189" s="607"/>
      <c r="H189" s="601"/>
      <c r="I189" s="601"/>
      <c r="J189" s="601"/>
      <c r="L189" s="136"/>
      <c r="M189" s="136"/>
      <c r="O189" s="601"/>
    </row>
    <row r="190" spans="2:15">
      <c r="B190" s="146"/>
      <c r="C190" s="607"/>
      <c r="D190" s="34"/>
      <c r="E190" s="34"/>
      <c r="F190" s="607"/>
      <c r="G190" s="607"/>
      <c r="H190" s="601"/>
      <c r="I190" s="601"/>
      <c r="J190" s="601"/>
      <c r="L190" s="136"/>
      <c r="M190" s="136"/>
      <c r="O190" s="601"/>
    </row>
    <row r="191" spans="2:15">
      <c r="C191" s="601"/>
      <c r="D191" s="601"/>
      <c r="E191" s="601"/>
      <c r="F191" s="601"/>
      <c r="G191" s="601"/>
      <c r="H191" s="601"/>
      <c r="L191" s="601"/>
      <c r="M191" s="601"/>
      <c r="O191" s="601"/>
    </row>
    <row r="192" spans="2:15">
      <c r="C192" s="147"/>
    </row>
    <row r="193" spans="2:15">
      <c r="B193" s="135"/>
      <c r="C193" s="147"/>
      <c r="L193" s="136"/>
      <c r="M193" s="136"/>
    </row>
    <row r="194" spans="2:15" ht="38.25">
      <c r="B194" s="668" t="s">
        <v>771</v>
      </c>
      <c r="C194" s="669"/>
      <c r="D194" s="669"/>
      <c r="E194" s="669"/>
      <c r="F194" s="669"/>
      <c r="G194" s="669"/>
      <c r="H194" s="669"/>
      <c r="I194" s="669"/>
      <c r="J194" s="669"/>
      <c r="K194" s="669"/>
      <c r="L194" s="669"/>
      <c r="M194" s="669"/>
      <c r="N194" s="669"/>
      <c r="O194" s="669"/>
    </row>
  </sheetData>
  <sheetProtection selectLockedCells="1" selectUnlockedCells="1"/>
  <mergeCells count="31">
    <mergeCell ref="B194:O194"/>
    <mergeCell ref="J138:O149"/>
    <mergeCell ref="J119:O130"/>
    <mergeCell ref="B126:G133"/>
    <mergeCell ref="B145:G152"/>
    <mergeCell ref="B163:G170"/>
    <mergeCell ref="L156:O156"/>
    <mergeCell ref="J163:O163"/>
    <mergeCell ref="D183:G183"/>
    <mergeCell ref="J176:O187"/>
    <mergeCell ref="L22:M22"/>
    <mergeCell ref="L8:O8"/>
    <mergeCell ref="D15:G15"/>
    <mergeCell ref="J16:O16"/>
    <mergeCell ref="L18:M18"/>
    <mergeCell ref="L20:M20"/>
    <mergeCell ref="L101:O101"/>
    <mergeCell ref="D108:G108"/>
    <mergeCell ref="J109:O109"/>
    <mergeCell ref="L26:O26"/>
    <mergeCell ref="D33:G33"/>
    <mergeCell ref="J34:O34"/>
    <mergeCell ref="L44:O44"/>
    <mergeCell ref="D51:G51"/>
    <mergeCell ref="J51:O51"/>
    <mergeCell ref="L63:O63"/>
    <mergeCell ref="D70:G70"/>
    <mergeCell ref="J70:O70"/>
    <mergeCell ref="L82:O82"/>
    <mergeCell ref="D89:G89"/>
    <mergeCell ref="J89:O89"/>
  </mergeCells>
  <phoneticPr fontId="49" type="noConversion"/>
  <pageMargins left="0.7" right="0.7" top="0.75" bottom="0.75" header="0.51180555555555551" footer="0.51180555555555551"/>
  <pageSetup paperSize="9" scale="43" firstPageNumber="0" fitToHeight="0" orientation="portrait" r:id="rId1"/>
  <headerFooter alignWithMargins="0"/>
  <rowBreaks count="2" manualBreakCount="2">
    <brk id="60" max="16383" man="1"/>
    <brk id="15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Q108"/>
  <sheetViews>
    <sheetView zoomScale="60" zoomScaleNormal="60" workbookViewId="0">
      <selection activeCell="P1" sqref="P1:Q1048576"/>
    </sheetView>
  </sheetViews>
  <sheetFormatPr defaultColWidth="7.6640625" defaultRowHeight="22.5"/>
  <cols>
    <col min="1" max="1" width="3.5546875" customWidth="1"/>
    <col min="2" max="2" width="9" customWidth="1"/>
    <col min="3" max="3" width="9" style="1" customWidth="1"/>
    <col min="4" max="4" width="9" customWidth="1"/>
    <col min="5" max="5" width="26.109375" style="1" customWidth="1"/>
    <col min="6" max="6" width="17.5546875" customWidth="1"/>
    <col min="7" max="7" width="12" hidden="1" customWidth="1"/>
    <col min="8" max="8" width="7.33203125" customWidth="1"/>
    <col min="9" max="9" width="17.5546875" customWidth="1"/>
    <col min="10" max="10" width="11.109375" hidden="1" customWidth="1"/>
    <col min="11" max="11" width="7.33203125" customWidth="1"/>
    <col min="12" max="12" width="12.6640625" customWidth="1"/>
    <col min="13" max="13" width="16.21875" style="1" customWidth="1"/>
    <col min="14" max="14" width="34.109375" style="15" bestFit="1" customWidth="1"/>
    <col min="15" max="15" width="17.5546875" customWidth="1"/>
    <col min="16" max="17" width="10.44140625" hidden="1" customWidth="1"/>
  </cols>
  <sheetData>
    <row r="1" spans="2:17" ht="21" customHeight="1">
      <c r="B1" s="149" t="s">
        <v>310</v>
      </c>
      <c r="C1" s="150"/>
      <c r="D1" s="150"/>
      <c r="E1" s="40"/>
      <c r="F1" s="151"/>
      <c r="G1" s="151"/>
      <c r="H1" s="151"/>
      <c r="I1" s="151"/>
      <c r="J1" s="151"/>
      <c r="K1" s="151"/>
      <c r="L1" s="151"/>
      <c r="M1" s="152"/>
      <c r="N1" s="40"/>
      <c r="O1" s="92"/>
    </row>
    <row r="2" spans="2:17" ht="21" customHeight="1">
      <c r="B2" s="153" t="s">
        <v>44</v>
      </c>
      <c r="C2" s="153"/>
      <c r="D2" s="153"/>
      <c r="E2" s="151"/>
      <c r="F2" s="151"/>
      <c r="G2" s="151"/>
      <c r="H2" s="151"/>
      <c r="I2" s="151"/>
      <c r="J2" s="151"/>
      <c r="K2" s="154"/>
      <c r="L2" s="154"/>
      <c r="M2" s="152"/>
      <c r="N2" s="40"/>
      <c r="O2" s="92"/>
    </row>
    <row r="3" spans="2:17" ht="21" customHeight="1" thickBot="1">
      <c r="B3" s="155" t="s">
        <v>311</v>
      </c>
      <c r="C3" s="156"/>
      <c r="D3" s="156"/>
      <c r="E3" s="40"/>
      <c r="F3" s="154"/>
      <c r="G3" s="154"/>
      <c r="H3" s="154"/>
      <c r="I3" s="154"/>
      <c r="J3" s="154"/>
      <c r="K3" s="154"/>
      <c r="L3" s="154"/>
      <c r="M3" s="468"/>
      <c r="N3" s="158"/>
      <c r="O3" s="159"/>
    </row>
    <row r="4" spans="2:17" ht="21" customHeight="1">
      <c r="B4" s="160" t="s">
        <v>312</v>
      </c>
      <c r="C4" s="88" t="s">
        <v>45</v>
      </c>
      <c r="D4" s="161" t="s">
        <v>46</v>
      </c>
      <c r="E4" s="162" t="s">
        <v>47</v>
      </c>
      <c r="F4" s="163"/>
      <c r="G4" s="164"/>
      <c r="H4" s="165" t="s">
        <v>48</v>
      </c>
      <c r="I4" s="163"/>
      <c r="J4" s="164"/>
      <c r="K4" s="165" t="s">
        <v>48</v>
      </c>
      <c r="L4" s="463" t="s">
        <v>313</v>
      </c>
      <c r="M4" s="469" t="s">
        <v>49</v>
      </c>
      <c r="N4" s="453"/>
      <c r="O4" s="166"/>
    </row>
    <row r="5" spans="2:17" ht="21" customHeight="1" thickBot="1">
      <c r="B5" s="167" t="s">
        <v>50</v>
      </c>
      <c r="C5" s="162" t="s">
        <v>314</v>
      </c>
      <c r="D5" s="168" t="s">
        <v>51</v>
      </c>
      <c r="E5" s="169" t="s">
        <v>315</v>
      </c>
      <c r="F5" s="170" t="s">
        <v>316</v>
      </c>
      <c r="G5" s="170" t="s">
        <v>317</v>
      </c>
      <c r="H5" s="171" t="s">
        <v>52</v>
      </c>
      <c r="I5" s="170" t="s">
        <v>318</v>
      </c>
      <c r="J5" s="170" t="s">
        <v>317</v>
      </c>
      <c r="K5" s="171" t="s">
        <v>52</v>
      </c>
      <c r="L5" s="168" t="s">
        <v>52</v>
      </c>
      <c r="M5" s="470" t="s">
        <v>314</v>
      </c>
      <c r="N5" s="474"/>
      <c r="O5" s="475" t="s">
        <v>319</v>
      </c>
      <c r="P5" s="544" t="s">
        <v>827</v>
      </c>
      <c r="Q5" s="544" t="s">
        <v>828</v>
      </c>
    </row>
    <row r="6" spans="2:17" ht="20.100000000000001" customHeight="1">
      <c r="B6" s="124">
        <v>1</v>
      </c>
      <c r="C6" s="125" t="str">
        <f t="shared" ref="C6:C37" si="0">M6</f>
        <v>AA1</v>
      </c>
      <c r="D6" s="125">
        <v>1</v>
      </c>
      <c r="E6" s="408" t="s">
        <v>432</v>
      </c>
      <c r="F6" s="408" t="s">
        <v>474</v>
      </c>
      <c r="G6" s="450" t="s">
        <v>532</v>
      </c>
      <c r="H6" s="483">
        <v>114</v>
      </c>
      <c r="I6" s="483" t="s">
        <v>552</v>
      </c>
      <c r="J6" s="483" t="s">
        <v>605</v>
      </c>
      <c r="K6" s="483">
        <v>108</v>
      </c>
      <c r="L6" s="484">
        <f t="shared" ref="L6:L49" si="1">H6+K6</f>
        <v>222</v>
      </c>
      <c r="M6" s="471" t="s">
        <v>53</v>
      </c>
      <c r="N6" s="485"/>
      <c r="O6" s="447"/>
      <c r="P6" s="1"/>
      <c r="Q6" s="1">
        <f>P6/2</f>
        <v>0</v>
      </c>
    </row>
    <row r="7" spans="2:17" ht="20.100000000000001" customHeight="1">
      <c r="B7" s="126">
        <v>2</v>
      </c>
      <c r="C7" s="17" t="str">
        <f t="shared" si="0"/>
        <v>AA2</v>
      </c>
      <c r="D7" s="17">
        <v>2</v>
      </c>
      <c r="E7" s="29" t="s">
        <v>455</v>
      </c>
      <c r="F7" s="29" t="s">
        <v>498</v>
      </c>
      <c r="G7" s="28" t="s">
        <v>538</v>
      </c>
      <c r="H7" s="452">
        <v>97.5</v>
      </c>
      <c r="I7" s="452" t="s">
        <v>575</v>
      </c>
      <c r="J7" s="452" t="s">
        <v>613</v>
      </c>
      <c r="K7" s="452">
        <v>97.5</v>
      </c>
      <c r="L7" s="464">
        <f t="shared" si="1"/>
        <v>195</v>
      </c>
      <c r="M7" s="472" t="s">
        <v>54</v>
      </c>
      <c r="N7" s="26"/>
      <c r="O7" s="448"/>
      <c r="P7" s="1"/>
      <c r="Q7" s="1">
        <f t="shared" ref="Q7:Q49" si="2">P7/2</f>
        <v>0</v>
      </c>
    </row>
    <row r="8" spans="2:17" ht="20.100000000000001" customHeight="1">
      <c r="B8" s="126">
        <v>3</v>
      </c>
      <c r="C8" s="17" t="str">
        <f t="shared" si="0"/>
        <v>AA3</v>
      </c>
      <c r="D8" s="17">
        <v>3</v>
      </c>
      <c r="E8" s="29" t="s">
        <v>445</v>
      </c>
      <c r="F8" s="29" t="s">
        <v>488</v>
      </c>
      <c r="G8" s="28" t="s">
        <v>535</v>
      </c>
      <c r="H8" s="452">
        <v>81</v>
      </c>
      <c r="I8" s="452" t="s">
        <v>566</v>
      </c>
      <c r="J8" s="452" t="s">
        <v>611</v>
      </c>
      <c r="K8" s="452">
        <v>102</v>
      </c>
      <c r="L8" s="464">
        <f t="shared" si="1"/>
        <v>183</v>
      </c>
      <c r="M8" s="472" t="s">
        <v>55</v>
      </c>
      <c r="N8" s="26"/>
      <c r="O8" s="448"/>
      <c r="P8" s="1"/>
      <c r="Q8" s="1">
        <f t="shared" si="2"/>
        <v>0</v>
      </c>
    </row>
    <row r="9" spans="2:17" ht="20.100000000000001" customHeight="1">
      <c r="B9" s="126">
        <v>5</v>
      </c>
      <c r="C9" s="17" t="str">
        <f t="shared" si="0"/>
        <v>AA4</v>
      </c>
      <c r="D9" s="17">
        <v>4</v>
      </c>
      <c r="E9" s="29" t="s">
        <v>452</v>
      </c>
      <c r="F9" s="29" t="s">
        <v>495</v>
      </c>
      <c r="G9" s="28" t="s">
        <v>524</v>
      </c>
      <c r="H9" s="452">
        <v>91</v>
      </c>
      <c r="I9" s="452" t="s">
        <v>573</v>
      </c>
      <c r="J9" s="452" t="s">
        <v>599</v>
      </c>
      <c r="K9" s="452">
        <v>82.5</v>
      </c>
      <c r="L9" s="464">
        <f t="shared" si="1"/>
        <v>173.5</v>
      </c>
      <c r="M9" s="472" t="s">
        <v>56</v>
      </c>
      <c r="N9" s="26"/>
      <c r="O9" s="448"/>
      <c r="P9" s="1"/>
      <c r="Q9" s="1">
        <f t="shared" si="2"/>
        <v>0</v>
      </c>
    </row>
    <row r="10" spans="2:17" ht="20.100000000000001" customHeight="1">
      <c r="B10" s="126">
        <v>4</v>
      </c>
      <c r="C10" s="17" t="str">
        <f t="shared" si="0"/>
        <v>AA5</v>
      </c>
      <c r="D10" s="17">
        <v>5</v>
      </c>
      <c r="E10" s="29" t="s">
        <v>433</v>
      </c>
      <c r="F10" s="29" t="s">
        <v>475</v>
      </c>
      <c r="G10" s="28" t="s">
        <v>516</v>
      </c>
      <c r="H10" s="452">
        <v>85.5</v>
      </c>
      <c r="I10" s="452" t="s">
        <v>553</v>
      </c>
      <c r="J10" s="452" t="s">
        <v>591</v>
      </c>
      <c r="K10" s="452">
        <v>85.5</v>
      </c>
      <c r="L10" s="464">
        <f t="shared" si="1"/>
        <v>171</v>
      </c>
      <c r="M10" s="472" t="s">
        <v>57</v>
      </c>
      <c r="N10" s="26"/>
      <c r="O10" s="448"/>
      <c r="P10" s="1"/>
      <c r="Q10" s="1">
        <f t="shared" si="2"/>
        <v>0</v>
      </c>
    </row>
    <row r="11" spans="2:17" ht="20.100000000000001" customHeight="1">
      <c r="B11" s="126">
        <v>7</v>
      </c>
      <c r="C11" s="17" t="str">
        <f t="shared" si="0"/>
        <v>AA6</v>
      </c>
      <c r="D11" s="17">
        <v>6</v>
      </c>
      <c r="E11" s="29" t="s">
        <v>438</v>
      </c>
      <c r="F11" s="29" t="s">
        <v>481</v>
      </c>
      <c r="G11" s="28" t="s">
        <v>521</v>
      </c>
      <c r="H11" s="452">
        <v>78.5</v>
      </c>
      <c r="I11" s="452" t="s">
        <v>559</v>
      </c>
      <c r="J11" s="452" t="s">
        <v>595</v>
      </c>
      <c r="K11" s="452">
        <v>77</v>
      </c>
      <c r="L11" s="464">
        <f t="shared" si="1"/>
        <v>155.5</v>
      </c>
      <c r="M11" s="472" t="s">
        <v>58</v>
      </c>
      <c r="N11" s="26"/>
      <c r="O11" s="448"/>
      <c r="P11" s="1"/>
      <c r="Q11" s="1">
        <f t="shared" si="2"/>
        <v>0</v>
      </c>
    </row>
    <row r="12" spans="2:17" ht="20.100000000000001" customHeight="1">
      <c r="B12" s="126">
        <v>6</v>
      </c>
      <c r="C12" s="17" t="str">
        <f t="shared" si="0"/>
        <v>AA7</v>
      </c>
      <c r="D12" s="17">
        <v>7</v>
      </c>
      <c r="E12" s="29" t="s">
        <v>426</v>
      </c>
      <c r="F12" s="29" t="s">
        <v>619</v>
      </c>
      <c r="G12" s="28" t="s">
        <v>512</v>
      </c>
      <c r="H12" s="452">
        <v>75</v>
      </c>
      <c r="I12" s="452" t="s">
        <v>620</v>
      </c>
      <c r="J12" s="452" t="s">
        <v>587</v>
      </c>
      <c r="K12" s="452">
        <v>75</v>
      </c>
      <c r="L12" s="464">
        <f t="shared" si="1"/>
        <v>150</v>
      </c>
      <c r="M12" s="472" t="s">
        <v>59</v>
      </c>
      <c r="N12" s="26"/>
      <c r="O12" s="448"/>
      <c r="P12" s="1"/>
      <c r="Q12" s="1">
        <f t="shared" si="2"/>
        <v>0</v>
      </c>
    </row>
    <row r="13" spans="2:17" ht="20.100000000000001" customHeight="1" thickBot="1">
      <c r="B13" s="445">
        <v>9</v>
      </c>
      <c r="C13" s="127" t="str">
        <f t="shared" si="0"/>
        <v>AA8</v>
      </c>
      <c r="D13" s="127">
        <v>8</v>
      </c>
      <c r="E13" s="416" t="s">
        <v>449</v>
      </c>
      <c r="F13" s="416" t="s">
        <v>492</v>
      </c>
      <c r="G13" s="451" t="s">
        <v>63</v>
      </c>
      <c r="H13" s="486">
        <v>66.75</v>
      </c>
      <c r="I13" s="486" t="s">
        <v>570</v>
      </c>
      <c r="J13" s="486" t="s">
        <v>597</v>
      </c>
      <c r="K13" s="486">
        <v>76</v>
      </c>
      <c r="L13" s="487">
        <f t="shared" si="1"/>
        <v>142.75</v>
      </c>
      <c r="M13" s="488" t="s">
        <v>60</v>
      </c>
      <c r="N13" s="446"/>
      <c r="O13" s="449"/>
      <c r="P13" s="1"/>
      <c r="Q13" s="1">
        <f t="shared" si="2"/>
        <v>0</v>
      </c>
    </row>
    <row r="14" spans="2:17" ht="20.100000000000001" customHeight="1">
      <c r="B14" s="476">
        <v>8</v>
      </c>
      <c r="C14" s="477" t="str">
        <f t="shared" si="0"/>
        <v>A1</v>
      </c>
      <c r="D14" s="477">
        <v>9</v>
      </c>
      <c r="E14" s="477" t="s">
        <v>461</v>
      </c>
      <c r="F14" s="490" t="s">
        <v>505</v>
      </c>
      <c r="G14" s="478" t="s">
        <v>541</v>
      </c>
      <c r="H14" s="479">
        <v>93</v>
      </c>
      <c r="I14" s="490" t="s">
        <v>581</v>
      </c>
      <c r="J14" s="477" t="s">
        <v>617</v>
      </c>
      <c r="K14" s="479">
        <v>40.5</v>
      </c>
      <c r="L14" s="480">
        <f t="shared" si="1"/>
        <v>133.5</v>
      </c>
      <c r="M14" s="481" t="s">
        <v>323</v>
      </c>
      <c r="N14" s="482"/>
      <c r="O14" s="477"/>
      <c r="P14" s="1"/>
      <c r="Q14" s="1">
        <f t="shared" si="2"/>
        <v>0</v>
      </c>
    </row>
    <row r="15" spans="2:17" ht="20.100000000000001" customHeight="1">
      <c r="B15" s="455">
        <v>10</v>
      </c>
      <c r="C15" s="456" t="str">
        <f t="shared" si="0"/>
        <v>B1</v>
      </c>
      <c r="D15" s="456">
        <v>10</v>
      </c>
      <c r="E15" s="456" t="s">
        <v>436</v>
      </c>
      <c r="F15" s="458" t="s">
        <v>478</v>
      </c>
      <c r="G15" s="457" t="s">
        <v>519</v>
      </c>
      <c r="H15" s="452">
        <v>70</v>
      </c>
      <c r="I15" s="458" t="s">
        <v>556</v>
      </c>
      <c r="J15" s="456" t="s">
        <v>593</v>
      </c>
      <c r="K15" s="452">
        <v>57</v>
      </c>
      <c r="L15" s="465">
        <f t="shared" si="1"/>
        <v>127</v>
      </c>
      <c r="M15" s="472" t="s">
        <v>62</v>
      </c>
      <c r="N15" s="467"/>
      <c r="O15" s="456"/>
      <c r="P15" s="1"/>
      <c r="Q15" s="1">
        <f t="shared" si="2"/>
        <v>0</v>
      </c>
    </row>
    <row r="16" spans="2:17" ht="20.100000000000001" customHeight="1">
      <c r="B16" s="455">
        <v>15</v>
      </c>
      <c r="C16" s="456" t="str">
        <f t="shared" si="0"/>
        <v>C1</v>
      </c>
      <c r="D16" s="456">
        <v>11</v>
      </c>
      <c r="E16" s="458" t="s">
        <v>427</v>
      </c>
      <c r="F16" s="458" t="s">
        <v>469</v>
      </c>
      <c r="G16" s="458" t="s">
        <v>513</v>
      </c>
      <c r="H16" s="452">
        <v>61.75</v>
      </c>
      <c r="I16" s="458" t="s">
        <v>548</v>
      </c>
      <c r="J16" s="458" t="s">
        <v>588</v>
      </c>
      <c r="K16" s="452">
        <v>55</v>
      </c>
      <c r="L16" s="466">
        <f t="shared" si="1"/>
        <v>116.75</v>
      </c>
      <c r="M16" s="472" t="s">
        <v>64</v>
      </c>
      <c r="N16" s="467"/>
      <c r="O16" s="456"/>
      <c r="P16" s="1"/>
      <c r="Q16" s="1">
        <f t="shared" si="2"/>
        <v>0</v>
      </c>
    </row>
    <row r="17" spans="2:17" ht="20.100000000000001" customHeight="1">
      <c r="B17" s="455">
        <v>11</v>
      </c>
      <c r="C17" s="456" t="str">
        <f t="shared" si="0"/>
        <v>D1</v>
      </c>
      <c r="D17" s="456">
        <v>12</v>
      </c>
      <c r="E17" s="456" t="s">
        <v>434</v>
      </c>
      <c r="F17" s="458" t="s">
        <v>476</v>
      </c>
      <c r="G17" s="457" t="s">
        <v>517</v>
      </c>
      <c r="H17" s="452">
        <v>75</v>
      </c>
      <c r="I17" s="458" t="s">
        <v>554</v>
      </c>
      <c r="J17" s="456" t="s">
        <v>592</v>
      </c>
      <c r="K17" s="452">
        <v>40.5</v>
      </c>
      <c r="L17" s="465">
        <f t="shared" si="1"/>
        <v>115.5</v>
      </c>
      <c r="M17" s="472" t="s">
        <v>65</v>
      </c>
      <c r="N17" s="467"/>
      <c r="O17" s="456"/>
      <c r="P17" s="1"/>
      <c r="Q17" s="1">
        <f t="shared" si="2"/>
        <v>0</v>
      </c>
    </row>
    <row r="18" spans="2:17" ht="20.100000000000001" customHeight="1">
      <c r="B18" s="455">
        <v>12</v>
      </c>
      <c r="C18" s="456" t="str">
        <f t="shared" si="0"/>
        <v>E1</v>
      </c>
      <c r="D18" s="456">
        <v>13</v>
      </c>
      <c r="E18" s="456" t="s">
        <v>453</v>
      </c>
      <c r="F18" s="458" t="s">
        <v>504</v>
      </c>
      <c r="G18" s="456" t="s">
        <v>529</v>
      </c>
      <c r="H18" s="452">
        <v>55.5</v>
      </c>
      <c r="I18" s="458" t="s">
        <v>496</v>
      </c>
      <c r="J18" s="456" t="s">
        <v>525</v>
      </c>
      <c r="K18" s="452">
        <v>55.5</v>
      </c>
      <c r="L18" s="465">
        <f t="shared" si="1"/>
        <v>111</v>
      </c>
      <c r="M18" s="472" t="s">
        <v>289</v>
      </c>
      <c r="N18" s="467"/>
      <c r="O18" s="456"/>
      <c r="P18" s="18"/>
      <c r="Q18" s="1">
        <f t="shared" si="2"/>
        <v>0</v>
      </c>
    </row>
    <row r="19" spans="2:17" ht="20.100000000000001" customHeight="1">
      <c r="B19" s="455">
        <v>13</v>
      </c>
      <c r="C19" s="456" t="str">
        <f t="shared" si="0"/>
        <v>F1</v>
      </c>
      <c r="D19" s="456">
        <v>14</v>
      </c>
      <c r="E19" s="458" t="s">
        <v>422</v>
      </c>
      <c r="F19" s="458" t="s">
        <v>464</v>
      </c>
      <c r="G19" s="458" t="s">
        <v>508</v>
      </c>
      <c r="H19" s="452">
        <v>54.75</v>
      </c>
      <c r="I19" s="458" t="s">
        <v>543</v>
      </c>
      <c r="J19" s="458" t="s">
        <v>584</v>
      </c>
      <c r="K19" s="452">
        <v>54.75</v>
      </c>
      <c r="L19" s="466">
        <f t="shared" si="1"/>
        <v>109.5</v>
      </c>
      <c r="M19" s="472" t="s">
        <v>635</v>
      </c>
      <c r="N19" s="467"/>
      <c r="O19" s="456"/>
      <c r="P19" s="1"/>
      <c r="Q19" s="1">
        <f t="shared" si="2"/>
        <v>0</v>
      </c>
    </row>
    <row r="20" spans="2:17" ht="20.100000000000001" customHeight="1">
      <c r="B20" s="455">
        <v>14</v>
      </c>
      <c r="C20" s="456" t="str">
        <f t="shared" si="0"/>
        <v>G1</v>
      </c>
      <c r="D20" s="456">
        <v>15</v>
      </c>
      <c r="E20" s="458" t="s">
        <v>423</v>
      </c>
      <c r="F20" s="458" t="s">
        <v>465</v>
      </c>
      <c r="G20" s="458" t="s">
        <v>509</v>
      </c>
      <c r="H20" s="452">
        <v>54</v>
      </c>
      <c r="I20" s="458" t="s">
        <v>544</v>
      </c>
      <c r="J20" s="458" t="s">
        <v>603</v>
      </c>
      <c r="K20" s="452">
        <v>54</v>
      </c>
      <c r="L20" s="466">
        <f t="shared" si="1"/>
        <v>108</v>
      </c>
      <c r="M20" s="472" t="s">
        <v>294</v>
      </c>
      <c r="N20" s="467"/>
      <c r="O20" s="456"/>
      <c r="P20" s="1">
        <v>0</v>
      </c>
      <c r="Q20" s="1">
        <f t="shared" si="2"/>
        <v>0</v>
      </c>
    </row>
    <row r="21" spans="2:17" ht="20.100000000000001" customHeight="1">
      <c r="B21" s="455">
        <v>16</v>
      </c>
      <c r="C21" s="456" t="str">
        <f t="shared" si="0"/>
        <v>H1</v>
      </c>
      <c r="D21" s="456">
        <v>16</v>
      </c>
      <c r="E21" s="458" t="s">
        <v>460</v>
      </c>
      <c r="F21" s="458" t="s">
        <v>503</v>
      </c>
      <c r="G21" s="458" t="s">
        <v>540</v>
      </c>
      <c r="H21" s="452">
        <v>93</v>
      </c>
      <c r="I21" s="458" t="s">
        <v>580</v>
      </c>
      <c r="J21" s="456" t="s">
        <v>616</v>
      </c>
      <c r="K21" s="452">
        <v>0</v>
      </c>
      <c r="L21" s="465">
        <f t="shared" si="1"/>
        <v>93</v>
      </c>
      <c r="M21" s="472" t="s">
        <v>295</v>
      </c>
      <c r="N21" s="467"/>
      <c r="O21" s="456"/>
      <c r="P21" s="1"/>
      <c r="Q21" s="1">
        <f t="shared" si="2"/>
        <v>0</v>
      </c>
    </row>
    <row r="22" spans="2:17" ht="20.100000000000001" customHeight="1">
      <c r="B22" s="455">
        <v>19</v>
      </c>
      <c r="C22" s="456" t="str">
        <f t="shared" si="0"/>
        <v>H2</v>
      </c>
      <c r="D22" s="456">
        <v>17</v>
      </c>
      <c r="E22" s="458" t="s">
        <v>456</v>
      </c>
      <c r="F22" s="458" t="s">
        <v>499</v>
      </c>
      <c r="G22" s="458" t="s">
        <v>527</v>
      </c>
      <c r="H22" s="452">
        <v>75</v>
      </c>
      <c r="I22" s="458" t="s">
        <v>576</v>
      </c>
      <c r="J22" s="456" t="s">
        <v>601</v>
      </c>
      <c r="K22" s="452">
        <v>16.5</v>
      </c>
      <c r="L22" s="465">
        <f t="shared" si="1"/>
        <v>91.5</v>
      </c>
      <c r="M22" s="472" t="s">
        <v>308</v>
      </c>
      <c r="N22" s="467"/>
      <c r="O22" s="456"/>
      <c r="P22" s="1">
        <v>0</v>
      </c>
      <c r="Q22" s="1">
        <f t="shared" si="2"/>
        <v>0</v>
      </c>
    </row>
    <row r="23" spans="2:17" ht="20.100000000000001" customHeight="1">
      <c r="B23" s="455">
        <v>17</v>
      </c>
      <c r="C23" s="456" t="str">
        <f t="shared" si="0"/>
        <v>G2</v>
      </c>
      <c r="D23" s="456">
        <v>18</v>
      </c>
      <c r="E23" s="458" t="s">
        <v>430</v>
      </c>
      <c r="F23" s="458" t="s">
        <v>472</v>
      </c>
      <c r="G23" s="459" t="s">
        <v>515</v>
      </c>
      <c r="H23" s="452">
        <v>25.5</v>
      </c>
      <c r="I23" s="458" t="s">
        <v>550</v>
      </c>
      <c r="J23" s="456" t="s">
        <v>590</v>
      </c>
      <c r="K23" s="452">
        <v>61.5</v>
      </c>
      <c r="L23" s="465">
        <f t="shared" si="1"/>
        <v>87</v>
      </c>
      <c r="M23" s="472" t="s">
        <v>296</v>
      </c>
      <c r="N23" s="467"/>
      <c r="O23" s="456"/>
      <c r="P23" s="1"/>
      <c r="Q23" s="1">
        <f t="shared" si="2"/>
        <v>0</v>
      </c>
    </row>
    <row r="24" spans="2:17" ht="20.100000000000001" customHeight="1">
      <c r="B24" s="455">
        <v>20</v>
      </c>
      <c r="C24" s="456" t="str">
        <f t="shared" si="0"/>
        <v>F2</v>
      </c>
      <c r="D24" s="456">
        <v>19</v>
      </c>
      <c r="E24" s="458" t="s">
        <v>463</v>
      </c>
      <c r="F24" s="458" t="s">
        <v>507</v>
      </c>
      <c r="G24" s="458" t="s">
        <v>530</v>
      </c>
      <c r="H24" s="452">
        <v>36</v>
      </c>
      <c r="I24" s="458" t="s">
        <v>583</v>
      </c>
      <c r="J24" s="456" t="s">
        <v>602</v>
      </c>
      <c r="K24" s="452">
        <v>36</v>
      </c>
      <c r="L24" s="465">
        <f t="shared" si="1"/>
        <v>72</v>
      </c>
      <c r="M24" s="472" t="s">
        <v>291</v>
      </c>
      <c r="N24" s="467"/>
      <c r="O24" s="456"/>
      <c r="P24" s="602">
        <v>48</v>
      </c>
      <c r="Q24" s="1">
        <f t="shared" si="2"/>
        <v>24</v>
      </c>
    </row>
    <row r="25" spans="2:17" ht="20.100000000000001" customHeight="1">
      <c r="B25" s="455">
        <v>24</v>
      </c>
      <c r="C25" s="456" t="str">
        <f t="shared" si="0"/>
        <v>E2</v>
      </c>
      <c r="D25" s="456">
        <v>20</v>
      </c>
      <c r="E25" s="458" t="s">
        <v>459</v>
      </c>
      <c r="F25" s="458" t="s">
        <v>502</v>
      </c>
      <c r="G25" s="458" t="s">
        <v>528</v>
      </c>
      <c r="H25" s="452">
        <v>50</v>
      </c>
      <c r="I25" s="458" t="s">
        <v>579</v>
      </c>
      <c r="J25" s="456" t="s">
        <v>615</v>
      </c>
      <c r="K25" s="452">
        <v>15.75</v>
      </c>
      <c r="L25" s="465">
        <f t="shared" si="1"/>
        <v>65.75</v>
      </c>
      <c r="M25" s="472" t="s">
        <v>306</v>
      </c>
      <c r="N25" s="467"/>
      <c r="O25" s="456"/>
      <c r="P25" s="1"/>
      <c r="Q25" s="1">
        <f t="shared" si="2"/>
        <v>0</v>
      </c>
    </row>
    <row r="26" spans="2:17" ht="20.100000000000001" customHeight="1">
      <c r="B26" s="455">
        <v>21</v>
      </c>
      <c r="C26" s="456" t="str">
        <f t="shared" si="0"/>
        <v>D2</v>
      </c>
      <c r="D26" s="456">
        <v>21</v>
      </c>
      <c r="E26" s="458" t="s">
        <v>424</v>
      </c>
      <c r="F26" s="458" t="s">
        <v>466</v>
      </c>
      <c r="G26" s="458" t="s">
        <v>510</v>
      </c>
      <c r="H26" s="452">
        <v>33.75</v>
      </c>
      <c r="I26" s="458" t="s">
        <v>545</v>
      </c>
      <c r="J26" s="458" t="s">
        <v>585</v>
      </c>
      <c r="K26" s="452">
        <v>27</v>
      </c>
      <c r="L26" s="466">
        <f t="shared" si="1"/>
        <v>60.75</v>
      </c>
      <c r="M26" s="472" t="s">
        <v>305</v>
      </c>
      <c r="N26" s="467"/>
      <c r="O26" s="456"/>
      <c r="P26" s="1"/>
      <c r="Q26" s="1">
        <f t="shared" si="2"/>
        <v>0</v>
      </c>
    </row>
    <row r="27" spans="2:17" ht="20.100000000000001" customHeight="1">
      <c r="B27" s="455">
        <v>22</v>
      </c>
      <c r="C27" s="456" t="str">
        <f t="shared" si="0"/>
        <v>C2</v>
      </c>
      <c r="D27" s="456">
        <v>22</v>
      </c>
      <c r="E27" s="548" t="s">
        <v>909</v>
      </c>
      <c r="F27" s="458" t="s">
        <v>467</v>
      </c>
      <c r="G27" s="458" t="s">
        <v>692</v>
      </c>
      <c r="H27" s="452">
        <v>28.5</v>
      </c>
      <c r="I27" s="458" t="s">
        <v>546</v>
      </c>
      <c r="J27" s="458" t="s">
        <v>604</v>
      </c>
      <c r="K27" s="452">
        <v>28.5</v>
      </c>
      <c r="L27" s="466">
        <f t="shared" si="1"/>
        <v>57</v>
      </c>
      <c r="M27" s="472" t="s">
        <v>73</v>
      </c>
      <c r="N27" s="467"/>
      <c r="O27" s="456"/>
      <c r="P27" s="1">
        <v>0</v>
      </c>
      <c r="Q27" s="1">
        <f t="shared" si="2"/>
        <v>0</v>
      </c>
    </row>
    <row r="28" spans="2:17" ht="20.100000000000001" customHeight="1">
      <c r="B28" s="455">
        <v>23</v>
      </c>
      <c r="C28" s="456" t="str">
        <f t="shared" si="0"/>
        <v>B2</v>
      </c>
      <c r="D28" s="456">
        <v>23</v>
      </c>
      <c r="E28" s="458" t="s">
        <v>443</v>
      </c>
      <c r="F28" s="458" t="s">
        <v>486</v>
      </c>
      <c r="G28" s="459" t="s">
        <v>534</v>
      </c>
      <c r="H28" s="452">
        <v>30</v>
      </c>
      <c r="I28" s="458" t="s">
        <v>564</v>
      </c>
      <c r="J28" s="456" t="s">
        <v>610</v>
      </c>
      <c r="K28" s="452">
        <v>24</v>
      </c>
      <c r="L28" s="465">
        <f t="shared" si="1"/>
        <v>54</v>
      </c>
      <c r="M28" s="472" t="s">
        <v>74</v>
      </c>
      <c r="N28" s="467"/>
      <c r="O28" s="456"/>
      <c r="P28" s="1"/>
      <c r="Q28" s="1">
        <f t="shared" si="2"/>
        <v>0</v>
      </c>
    </row>
    <row r="29" spans="2:17" ht="20.100000000000001" customHeight="1">
      <c r="B29" s="455">
        <v>26</v>
      </c>
      <c r="C29" s="456" t="str">
        <f t="shared" si="0"/>
        <v>A2</v>
      </c>
      <c r="D29" s="456">
        <v>24</v>
      </c>
      <c r="E29" s="458" t="s">
        <v>457</v>
      </c>
      <c r="F29" s="458" t="s">
        <v>500</v>
      </c>
      <c r="G29" s="458" t="s">
        <v>539</v>
      </c>
      <c r="H29" s="452">
        <v>42</v>
      </c>
      <c r="I29" s="458" t="s">
        <v>577</v>
      </c>
      <c r="J29" s="456" t="s">
        <v>614</v>
      </c>
      <c r="K29" s="452">
        <v>1.5</v>
      </c>
      <c r="L29" s="465">
        <f t="shared" si="1"/>
        <v>43.5</v>
      </c>
      <c r="M29" s="472" t="s">
        <v>302</v>
      </c>
      <c r="N29" s="467"/>
      <c r="O29" s="456"/>
      <c r="P29" s="1">
        <v>0</v>
      </c>
      <c r="Q29" s="1">
        <f t="shared" si="2"/>
        <v>0</v>
      </c>
    </row>
    <row r="30" spans="2:17" ht="20.100000000000001" customHeight="1">
      <c r="B30" s="455">
        <v>25</v>
      </c>
      <c r="C30" s="456" t="str">
        <f t="shared" si="0"/>
        <v>A3</v>
      </c>
      <c r="D30" s="456">
        <v>25</v>
      </c>
      <c r="E30" s="458" t="s">
        <v>437</v>
      </c>
      <c r="F30" s="458" t="s">
        <v>479</v>
      </c>
      <c r="G30" s="459" t="s">
        <v>622</v>
      </c>
      <c r="H30" s="452">
        <v>18.75</v>
      </c>
      <c r="I30" s="458" t="s">
        <v>557</v>
      </c>
      <c r="J30" s="456" t="s">
        <v>607</v>
      </c>
      <c r="K30" s="452">
        <v>24</v>
      </c>
      <c r="L30" s="465">
        <f t="shared" si="1"/>
        <v>42.75</v>
      </c>
      <c r="M30" s="472" t="s">
        <v>297</v>
      </c>
      <c r="N30" s="467"/>
      <c r="O30" s="456"/>
      <c r="P30" s="1"/>
      <c r="Q30" s="1">
        <f t="shared" si="2"/>
        <v>0</v>
      </c>
    </row>
    <row r="31" spans="2:17" ht="20.100000000000001" customHeight="1">
      <c r="B31" s="455">
        <v>18</v>
      </c>
      <c r="C31" s="456" t="str">
        <f t="shared" si="0"/>
        <v>B3</v>
      </c>
      <c r="D31" s="456">
        <v>26</v>
      </c>
      <c r="E31" s="458" t="s">
        <v>451</v>
      </c>
      <c r="F31" s="458" t="s">
        <v>494</v>
      </c>
      <c r="G31" s="459" t="s">
        <v>523</v>
      </c>
      <c r="H31" s="452">
        <v>37.5</v>
      </c>
      <c r="I31" s="458" t="s">
        <v>572</v>
      </c>
      <c r="J31" s="456" t="s">
        <v>598</v>
      </c>
      <c r="K31" s="452">
        <v>0</v>
      </c>
      <c r="L31" s="465">
        <f t="shared" si="1"/>
        <v>37.5</v>
      </c>
      <c r="M31" s="472" t="s">
        <v>631</v>
      </c>
      <c r="N31" s="467"/>
      <c r="O31" s="456"/>
      <c r="P31" s="1">
        <v>48</v>
      </c>
      <c r="Q31" s="1">
        <f t="shared" si="2"/>
        <v>24</v>
      </c>
    </row>
    <row r="32" spans="2:17" ht="20.100000000000001" customHeight="1">
      <c r="B32" s="455">
        <v>27</v>
      </c>
      <c r="C32" s="456" t="str">
        <f t="shared" si="0"/>
        <v>C3</v>
      </c>
      <c r="D32" s="456">
        <v>27</v>
      </c>
      <c r="E32" s="458" t="s">
        <v>454</v>
      </c>
      <c r="F32" s="458" t="s">
        <v>497</v>
      </c>
      <c r="G32" s="459" t="s">
        <v>526</v>
      </c>
      <c r="H32" s="452">
        <v>36</v>
      </c>
      <c r="I32" s="458" t="s">
        <v>574</v>
      </c>
      <c r="J32" s="456" t="s">
        <v>600</v>
      </c>
      <c r="K32" s="452">
        <v>0</v>
      </c>
      <c r="L32" s="465">
        <f t="shared" si="1"/>
        <v>36</v>
      </c>
      <c r="M32" s="472" t="s">
        <v>630</v>
      </c>
      <c r="N32" s="467"/>
      <c r="O32" s="456"/>
      <c r="P32" s="1"/>
      <c r="Q32" s="1">
        <f t="shared" si="2"/>
        <v>0</v>
      </c>
    </row>
    <row r="33" spans="2:17" ht="20.100000000000001" customHeight="1">
      <c r="B33" s="455">
        <v>28</v>
      </c>
      <c r="C33" s="456" t="str">
        <f t="shared" si="0"/>
        <v>D3</v>
      </c>
      <c r="D33" s="456">
        <v>28</v>
      </c>
      <c r="E33" s="458" t="s">
        <v>435</v>
      </c>
      <c r="F33" s="458" t="s">
        <v>477</v>
      </c>
      <c r="G33" s="459" t="s">
        <v>518</v>
      </c>
      <c r="H33" s="452">
        <v>34.5</v>
      </c>
      <c r="I33" s="458" t="s">
        <v>555</v>
      </c>
      <c r="J33" s="456" t="s">
        <v>606</v>
      </c>
      <c r="K33" s="452">
        <v>0</v>
      </c>
      <c r="L33" s="465">
        <f t="shared" si="1"/>
        <v>34.5</v>
      </c>
      <c r="M33" s="472" t="s">
        <v>293</v>
      </c>
      <c r="N33" s="467"/>
      <c r="O33" s="456"/>
      <c r="P33" s="1">
        <v>48</v>
      </c>
      <c r="Q33" s="1">
        <f t="shared" si="2"/>
        <v>24</v>
      </c>
    </row>
    <row r="34" spans="2:17" ht="20.100000000000001" customHeight="1">
      <c r="B34" s="455">
        <v>29</v>
      </c>
      <c r="C34" s="456" t="str">
        <f t="shared" si="0"/>
        <v>E3</v>
      </c>
      <c r="D34" s="456">
        <v>29</v>
      </c>
      <c r="E34" s="458" t="s">
        <v>441</v>
      </c>
      <c r="F34" s="458" t="s">
        <v>484</v>
      </c>
      <c r="G34" s="459" t="s">
        <v>533</v>
      </c>
      <c r="H34" s="452">
        <v>9</v>
      </c>
      <c r="I34" s="458" t="s">
        <v>562</v>
      </c>
      <c r="J34" s="456" t="s">
        <v>608</v>
      </c>
      <c r="K34" s="452">
        <v>9</v>
      </c>
      <c r="L34" s="465">
        <f t="shared" si="1"/>
        <v>18</v>
      </c>
      <c r="M34" s="472" t="s">
        <v>292</v>
      </c>
      <c r="N34" s="467"/>
      <c r="O34" s="456"/>
      <c r="P34" s="1">
        <v>0</v>
      </c>
      <c r="Q34" s="1">
        <f t="shared" si="2"/>
        <v>0</v>
      </c>
    </row>
    <row r="35" spans="2:17" ht="20.100000000000001" customHeight="1">
      <c r="B35" s="455">
        <v>30</v>
      </c>
      <c r="C35" s="456" t="str">
        <f t="shared" si="0"/>
        <v>F3</v>
      </c>
      <c r="D35" s="456">
        <v>30</v>
      </c>
      <c r="E35" s="458">
        <v>1987.5</v>
      </c>
      <c r="F35" s="458" t="s">
        <v>480</v>
      </c>
      <c r="G35" s="459" t="s">
        <v>520</v>
      </c>
      <c r="H35" s="452">
        <v>11.25</v>
      </c>
      <c r="I35" s="458" t="s">
        <v>558</v>
      </c>
      <c r="J35" s="456" t="s">
        <v>594</v>
      </c>
      <c r="K35" s="452">
        <v>0</v>
      </c>
      <c r="L35" s="465">
        <f t="shared" si="1"/>
        <v>11.25</v>
      </c>
      <c r="M35" s="472" t="s">
        <v>78</v>
      </c>
      <c r="N35" s="467"/>
      <c r="O35" s="456"/>
      <c r="P35" s="1"/>
      <c r="Q35" s="1">
        <f t="shared" si="2"/>
        <v>0</v>
      </c>
    </row>
    <row r="36" spans="2:17" ht="20.100000000000001" customHeight="1">
      <c r="B36" s="455">
        <v>31</v>
      </c>
      <c r="C36" s="456" t="str">
        <f t="shared" si="0"/>
        <v>G3</v>
      </c>
      <c r="D36" s="456">
        <v>31</v>
      </c>
      <c r="E36" s="458" t="s">
        <v>462</v>
      </c>
      <c r="F36" s="458" t="s">
        <v>506</v>
      </c>
      <c r="G36" s="458" t="s">
        <v>542</v>
      </c>
      <c r="H36" s="452">
        <v>0</v>
      </c>
      <c r="I36" s="458" t="s">
        <v>582</v>
      </c>
      <c r="J36" s="456" t="s">
        <v>618</v>
      </c>
      <c r="K36" s="452">
        <v>6.75</v>
      </c>
      <c r="L36" s="465">
        <f t="shared" si="1"/>
        <v>6.75</v>
      </c>
      <c r="M36" s="472" t="s">
        <v>79</v>
      </c>
      <c r="N36" s="467"/>
      <c r="O36" s="456"/>
      <c r="P36" s="1"/>
      <c r="Q36" s="1">
        <f t="shared" si="2"/>
        <v>0</v>
      </c>
    </row>
    <row r="37" spans="2:17" ht="20.100000000000001" customHeight="1">
      <c r="B37" s="455">
        <v>32</v>
      </c>
      <c r="C37" s="456" t="str">
        <f t="shared" si="0"/>
        <v>H3</v>
      </c>
      <c r="D37" s="456">
        <v>32</v>
      </c>
      <c r="E37" s="458" t="s">
        <v>431</v>
      </c>
      <c r="F37" s="458" t="s">
        <v>473</v>
      </c>
      <c r="G37" s="459" t="s">
        <v>531</v>
      </c>
      <c r="H37" s="452">
        <v>6</v>
      </c>
      <c r="I37" s="458" t="s">
        <v>551</v>
      </c>
      <c r="J37" s="460" t="s">
        <v>69</v>
      </c>
      <c r="K37" s="452">
        <v>0</v>
      </c>
      <c r="L37" s="465">
        <f t="shared" si="1"/>
        <v>6</v>
      </c>
      <c r="M37" s="472" t="s">
        <v>80</v>
      </c>
      <c r="N37" s="467"/>
      <c r="O37" s="456"/>
      <c r="P37" s="1">
        <v>48</v>
      </c>
      <c r="Q37" s="1">
        <f t="shared" si="2"/>
        <v>24</v>
      </c>
    </row>
    <row r="38" spans="2:17" ht="20.100000000000001" customHeight="1">
      <c r="B38" s="455">
        <v>33</v>
      </c>
      <c r="C38" s="456" t="str">
        <f t="shared" ref="C38:C54" si="3">M38</f>
        <v>H4</v>
      </c>
      <c r="D38" s="456">
        <v>33</v>
      </c>
      <c r="E38" s="458" t="s">
        <v>425</v>
      </c>
      <c r="F38" s="458" t="s">
        <v>468</v>
      </c>
      <c r="G38" s="458" t="s">
        <v>511</v>
      </c>
      <c r="H38" s="452">
        <v>0</v>
      </c>
      <c r="I38" s="458" t="s">
        <v>547</v>
      </c>
      <c r="J38" s="458" t="s">
        <v>586</v>
      </c>
      <c r="K38" s="452">
        <v>0</v>
      </c>
      <c r="L38" s="466">
        <f t="shared" si="1"/>
        <v>0</v>
      </c>
      <c r="M38" s="473" t="s">
        <v>81</v>
      </c>
      <c r="N38" s="467" t="s">
        <v>629</v>
      </c>
      <c r="O38" s="456"/>
      <c r="P38" s="1"/>
      <c r="Q38" s="1">
        <f t="shared" si="2"/>
        <v>0</v>
      </c>
    </row>
    <row r="39" spans="2:17" ht="20.100000000000001" customHeight="1">
      <c r="B39" s="455">
        <v>34</v>
      </c>
      <c r="C39" s="456" t="str">
        <f t="shared" si="3"/>
        <v>F4</v>
      </c>
      <c r="D39" s="456">
        <v>33</v>
      </c>
      <c r="E39" s="458" t="s">
        <v>428</v>
      </c>
      <c r="F39" s="458" t="s">
        <v>470</v>
      </c>
      <c r="G39" s="458" t="s">
        <v>514</v>
      </c>
      <c r="H39" s="452">
        <v>0</v>
      </c>
      <c r="I39" s="461" t="s">
        <v>627</v>
      </c>
      <c r="J39" s="458" t="s">
        <v>589</v>
      </c>
      <c r="K39" s="452">
        <v>0</v>
      </c>
      <c r="L39" s="466">
        <f t="shared" si="1"/>
        <v>0</v>
      </c>
      <c r="M39" s="473" t="s">
        <v>109</v>
      </c>
      <c r="N39" s="467" t="s">
        <v>628</v>
      </c>
      <c r="O39" s="456"/>
      <c r="P39" s="1">
        <v>0</v>
      </c>
      <c r="Q39" s="1">
        <f t="shared" si="2"/>
        <v>0</v>
      </c>
    </row>
    <row r="40" spans="2:17" ht="20.100000000000001" customHeight="1">
      <c r="B40" s="455">
        <v>35</v>
      </c>
      <c r="C40" s="456" t="str">
        <f t="shared" si="3"/>
        <v>QT4</v>
      </c>
      <c r="D40" s="456">
        <v>33</v>
      </c>
      <c r="E40" s="456" t="s">
        <v>429</v>
      </c>
      <c r="F40" s="458" t="s">
        <v>471</v>
      </c>
      <c r="G40" s="462" t="s">
        <v>69</v>
      </c>
      <c r="H40" s="452">
        <v>0</v>
      </c>
      <c r="I40" s="458" t="s">
        <v>549</v>
      </c>
      <c r="J40" s="460" t="s">
        <v>69</v>
      </c>
      <c r="K40" s="452">
        <v>0</v>
      </c>
      <c r="L40" s="465">
        <f t="shared" si="1"/>
        <v>0</v>
      </c>
      <c r="M40" s="473" t="s">
        <v>248</v>
      </c>
      <c r="N40" s="467" t="s">
        <v>628</v>
      </c>
      <c r="O40" s="456"/>
      <c r="P40" s="1">
        <v>3</v>
      </c>
      <c r="Q40" s="1">
        <f t="shared" si="2"/>
        <v>1.5</v>
      </c>
    </row>
    <row r="41" spans="2:17" ht="20.100000000000001" customHeight="1">
      <c r="B41" s="455">
        <v>36</v>
      </c>
      <c r="C41" s="456" t="str">
        <f t="shared" si="3"/>
        <v>QT1</v>
      </c>
      <c r="D41" s="456">
        <v>33</v>
      </c>
      <c r="E41" s="456" t="s">
        <v>439</v>
      </c>
      <c r="F41" s="458" t="s">
        <v>482</v>
      </c>
      <c r="G41" s="460" t="s">
        <v>69</v>
      </c>
      <c r="H41" s="452">
        <v>0</v>
      </c>
      <c r="I41" s="458" t="s">
        <v>560</v>
      </c>
      <c r="J41" s="460" t="s">
        <v>69</v>
      </c>
      <c r="K41" s="452">
        <v>0</v>
      </c>
      <c r="L41" s="465">
        <f t="shared" si="1"/>
        <v>0</v>
      </c>
      <c r="M41" s="473" t="s">
        <v>623</v>
      </c>
      <c r="N41" s="467" t="s">
        <v>628</v>
      </c>
      <c r="O41" s="456"/>
      <c r="P41" s="1">
        <v>3</v>
      </c>
      <c r="Q41" s="1">
        <f t="shared" si="2"/>
        <v>1.5</v>
      </c>
    </row>
    <row r="42" spans="2:17" ht="20.100000000000001" customHeight="1">
      <c r="B42" s="455">
        <v>37</v>
      </c>
      <c r="C42" s="456" t="str">
        <f t="shared" si="3"/>
        <v>QT2</v>
      </c>
      <c r="D42" s="456">
        <v>33</v>
      </c>
      <c r="E42" s="456" t="s">
        <v>440</v>
      </c>
      <c r="F42" s="458" t="s">
        <v>483</v>
      </c>
      <c r="G42" s="462" t="s">
        <v>69</v>
      </c>
      <c r="H42" s="452">
        <v>0</v>
      </c>
      <c r="I42" s="458" t="s">
        <v>561</v>
      </c>
      <c r="J42" s="460" t="s">
        <v>69</v>
      </c>
      <c r="K42" s="452">
        <v>0</v>
      </c>
      <c r="L42" s="465">
        <f t="shared" si="1"/>
        <v>0</v>
      </c>
      <c r="M42" s="473" t="s">
        <v>624</v>
      </c>
      <c r="N42" s="467" t="s">
        <v>628</v>
      </c>
      <c r="O42" s="456"/>
      <c r="P42" s="1">
        <v>36</v>
      </c>
      <c r="Q42" s="1">
        <f t="shared" si="2"/>
        <v>18</v>
      </c>
    </row>
    <row r="43" spans="2:17" ht="20.100000000000001" customHeight="1">
      <c r="B43" s="455">
        <v>38</v>
      </c>
      <c r="C43" s="456" t="str">
        <f t="shared" si="3"/>
        <v>G4</v>
      </c>
      <c r="D43" s="456">
        <v>33</v>
      </c>
      <c r="E43" s="456" t="s">
        <v>442</v>
      </c>
      <c r="F43" s="456" t="s">
        <v>485</v>
      </c>
      <c r="G43" s="462" t="s">
        <v>69</v>
      </c>
      <c r="H43" s="452">
        <v>0</v>
      </c>
      <c r="I43" s="458" t="s">
        <v>563</v>
      </c>
      <c r="J43" s="456" t="s">
        <v>609</v>
      </c>
      <c r="K43" s="452">
        <v>0</v>
      </c>
      <c r="L43" s="465">
        <f t="shared" si="1"/>
        <v>0</v>
      </c>
      <c r="M43" s="473" t="s">
        <v>111</v>
      </c>
      <c r="N43" s="467" t="s">
        <v>628</v>
      </c>
      <c r="O43" s="456"/>
      <c r="P43" s="1">
        <v>0</v>
      </c>
      <c r="Q43" s="1">
        <f t="shared" si="2"/>
        <v>0</v>
      </c>
    </row>
    <row r="44" spans="2:17" ht="20.100000000000001" customHeight="1">
      <c r="B44" s="455">
        <v>39</v>
      </c>
      <c r="C44" s="456" t="str">
        <f t="shared" si="3"/>
        <v>QT4</v>
      </c>
      <c r="D44" s="456">
        <v>33</v>
      </c>
      <c r="E44" s="456" t="s">
        <v>444</v>
      </c>
      <c r="F44" s="456" t="s">
        <v>487</v>
      </c>
      <c r="G44" s="462" t="s">
        <v>69</v>
      </c>
      <c r="H44" s="452">
        <v>0</v>
      </c>
      <c r="I44" s="456" t="s">
        <v>565</v>
      </c>
      <c r="J44" s="460" t="s">
        <v>69</v>
      </c>
      <c r="K44" s="452">
        <v>0</v>
      </c>
      <c r="L44" s="465">
        <f t="shared" si="1"/>
        <v>0</v>
      </c>
      <c r="M44" s="473" t="s">
        <v>248</v>
      </c>
      <c r="N44" s="467" t="s">
        <v>628</v>
      </c>
      <c r="O44" s="456"/>
      <c r="P44" s="1">
        <v>3</v>
      </c>
      <c r="Q44" s="1">
        <f t="shared" si="2"/>
        <v>1.5</v>
      </c>
    </row>
    <row r="45" spans="2:17" ht="20.100000000000001" customHeight="1">
      <c r="B45" s="455">
        <v>40</v>
      </c>
      <c r="C45" s="456" t="str">
        <f t="shared" si="3"/>
        <v>QT2</v>
      </c>
      <c r="D45" s="456">
        <v>33</v>
      </c>
      <c r="E45" s="456" t="s">
        <v>446</v>
      </c>
      <c r="F45" s="456" t="s">
        <v>489</v>
      </c>
      <c r="G45" s="457" t="s">
        <v>522</v>
      </c>
      <c r="H45" s="452">
        <v>0</v>
      </c>
      <c r="I45" s="456" t="s">
        <v>567</v>
      </c>
      <c r="J45" s="456" t="s">
        <v>596</v>
      </c>
      <c r="K45" s="452">
        <v>0</v>
      </c>
      <c r="L45" s="465">
        <f t="shared" si="1"/>
        <v>0</v>
      </c>
      <c r="M45" s="473" t="s">
        <v>624</v>
      </c>
      <c r="N45" s="467" t="s">
        <v>628</v>
      </c>
      <c r="O45" s="456"/>
      <c r="P45" s="1">
        <v>0</v>
      </c>
      <c r="Q45" s="1">
        <f t="shared" si="2"/>
        <v>0</v>
      </c>
    </row>
    <row r="46" spans="2:17" ht="20.100000000000001" customHeight="1">
      <c r="B46" s="455">
        <v>41</v>
      </c>
      <c r="C46" s="456" t="str">
        <f t="shared" si="3"/>
        <v>QT3</v>
      </c>
      <c r="D46" s="456">
        <v>33</v>
      </c>
      <c r="E46" s="456" t="s">
        <v>447</v>
      </c>
      <c r="F46" s="456" t="s">
        <v>490</v>
      </c>
      <c r="G46" s="457" t="s">
        <v>536</v>
      </c>
      <c r="H46" s="452">
        <v>0</v>
      </c>
      <c r="I46" s="456" t="s">
        <v>568</v>
      </c>
      <c r="J46" s="456" t="s">
        <v>612</v>
      </c>
      <c r="K46" s="452">
        <v>0</v>
      </c>
      <c r="L46" s="465">
        <f t="shared" si="1"/>
        <v>0</v>
      </c>
      <c r="M46" s="473" t="s">
        <v>625</v>
      </c>
      <c r="N46" s="467" t="s">
        <v>628</v>
      </c>
      <c r="O46" s="456"/>
      <c r="P46" s="1">
        <v>48</v>
      </c>
      <c r="Q46" s="1">
        <f t="shared" si="2"/>
        <v>24</v>
      </c>
    </row>
    <row r="47" spans="2:17" ht="20.100000000000001" customHeight="1">
      <c r="B47" s="455">
        <v>42</v>
      </c>
      <c r="C47" s="456" t="str">
        <f t="shared" si="3"/>
        <v>E4</v>
      </c>
      <c r="D47" s="456">
        <v>33</v>
      </c>
      <c r="E47" s="456" t="s">
        <v>448</v>
      </c>
      <c r="F47" s="456" t="s">
        <v>491</v>
      </c>
      <c r="G47" s="462" t="s">
        <v>69</v>
      </c>
      <c r="H47" s="452">
        <v>0</v>
      </c>
      <c r="I47" s="456" t="s">
        <v>569</v>
      </c>
      <c r="J47" s="460" t="s">
        <v>69</v>
      </c>
      <c r="K47" s="452">
        <v>0</v>
      </c>
      <c r="L47" s="465">
        <f t="shared" si="1"/>
        <v>0</v>
      </c>
      <c r="M47" s="473" t="s">
        <v>108</v>
      </c>
      <c r="N47" s="467" t="s">
        <v>628</v>
      </c>
      <c r="O47" s="456"/>
      <c r="P47" s="1">
        <v>48</v>
      </c>
      <c r="Q47" s="1">
        <f t="shared" si="2"/>
        <v>24</v>
      </c>
    </row>
    <row r="48" spans="2:17" ht="20.100000000000001" customHeight="1">
      <c r="B48" s="455">
        <v>43</v>
      </c>
      <c r="C48" s="456" t="str">
        <f t="shared" si="3"/>
        <v>QT1</v>
      </c>
      <c r="D48" s="456">
        <v>33</v>
      </c>
      <c r="E48" s="456" t="s">
        <v>450</v>
      </c>
      <c r="F48" s="456" t="s">
        <v>493</v>
      </c>
      <c r="G48" s="457" t="s">
        <v>537</v>
      </c>
      <c r="H48" s="452">
        <v>0</v>
      </c>
      <c r="I48" s="456" t="s">
        <v>571</v>
      </c>
      <c r="J48" s="460" t="s">
        <v>69</v>
      </c>
      <c r="K48" s="452">
        <v>0</v>
      </c>
      <c r="L48" s="465">
        <f t="shared" si="1"/>
        <v>0</v>
      </c>
      <c r="M48" s="473" t="s">
        <v>623</v>
      </c>
      <c r="N48" s="467" t="s">
        <v>628</v>
      </c>
      <c r="O48" s="456"/>
      <c r="P48" s="1">
        <v>3</v>
      </c>
      <c r="Q48" s="1">
        <f t="shared" si="2"/>
        <v>1.5</v>
      </c>
    </row>
    <row r="49" spans="2:17" ht="20.100000000000001" customHeight="1" thickBot="1">
      <c r="B49" s="455">
        <v>44</v>
      </c>
      <c r="C49" s="456" t="str">
        <f t="shared" si="3"/>
        <v>QT3</v>
      </c>
      <c r="D49" s="456">
        <v>33</v>
      </c>
      <c r="E49" s="456" t="s">
        <v>458</v>
      </c>
      <c r="F49" s="456" t="s">
        <v>501</v>
      </c>
      <c r="G49" s="460" t="s">
        <v>69</v>
      </c>
      <c r="H49" s="452">
        <v>0</v>
      </c>
      <c r="I49" s="456" t="s">
        <v>578</v>
      </c>
      <c r="J49" s="460" t="s">
        <v>69</v>
      </c>
      <c r="K49" s="452">
        <v>0</v>
      </c>
      <c r="L49" s="465">
        <f t="shared" si="1"/>
        <v>0</v>
      </c>
      <c r="M49" s="489" t="s">
        <v>625</v>
      </c>
      <c r="N49" s="467" t="s">
        <v>628</v>
      </c>
      <c r="O49" s="456"/>
      <c r="P49" s="1">
        <v>3</v>
      </c>
      <c r="Q49" s="1">
        <f t="shared" si="2"/>
        <v>1.5</v>
      </c>
    </row>
    <row r="50" spans="2:17" ht="20.100000000000001" hidden="1" customHeight="1" thickBot="1">
      <c r="B50" s="19">
        <v>45</v>
      </c>
      <c r="C50" s="27">
        <f t="shared" si="3"/>
        <v>0</v>
      </c>
      <c r="D50" s="401">
        <v>44</v>
      </c>
      <c r="E50" s="427"/>
      <c r="F50" s="428"/>
      <c r="G50" s="428"/>
      <c r="H50" s="428"/>
      <c r="I50" s="428"/>
      <c r="J50" s="428"/>
      <c r="K50" s="27"/>
      <c r="L50" s="21">
        <f t="shared" ref="L50:L102" si="4">H50+K50</f>
        <v>0</v>
      </c>
      <c r="M50" s="454"/>
      <c r="N50" s="173"/>
      <c r="O50" s="20"/>
    </row>
    <row r="51" spans="2:17" ht="20.100000000000001" hidden="1" customHeight="1" thickBot="1">
      <c r="B51" s="19">
        <v>46</v>
      </c>
      <c r="C51" s="30">
        <f t="shared" si="3"/>
        <v>0</v>
      </c>
      <c r="D51" s="31">
        <v>46</v>
      </c>
      <c r="E51" s="20"/>
      <c r="F51" s="20"/>
      <c r="G51" s="20"/>
      <c r="H51" s="28" t="e">
        <f>NA()</f>
        <v>#N/A</v>
      </c>
      <c r="I51" s="20"/>
      <c r="J51" s="175"/>
      <c r="K51" s="33" t="e">
        <f>NA()</f>
        <v>#N/A</v>
      </c>
      <c r="L51" s="24" t="e">
        <f t="shared" si="4"/>
        <v>#N/A</v>
      </c>
      <c r="M51" s="177"/>
      <c r="N51" s="26"/>
      <c r="O51" s="23"/>
    </row>
    <row r="52" spans="2:17" ht="20.100000000000001" hidden="1" customHeight="1" thickBot="1">
      <c r="B52" s="19">
        <v>47</v>
      </c>
      <c r="C52" s="30">
        <f t="shared" si="3"/>
        <v>0</v>
      </c>
      <c r="D52" s="23">
        <v>46</v>
      </c>
      <c r="E52" s="23"/>
      <c r="F52" s="23"/>
      <c r="G52" s="23"/>
      <c r="H52" s="32" t="e">
        <f>NA()</f>
        <v>#N/A</v>
      </c>
      <c r="I52" s="23"/>
      <c r="J52" s="176"/>
      <c r="K52" s="33" t="e">
        <f>NA()</f>
        <v>#N/A</v>
      </c>
      <c r="L52" s="24" t="e">
        <f t="shared" si="4"/>
        <v>#N/A</v>
      </c>
      <c r="M52" s="177"/>
      <c r="N52" s="26"/>
      <c r="O52" s="23"/>
    </row>
    <row r="53" spans="2:17" ht="20.100000000000001" hidden="1" customHeight="1" thickBot="1">
      <c r="B53" s="19">
        <v>48</v>
      </c>
      <c r="C53" s="30">
        <f t="shared" si="3"/>
        <v>0</v>
      </c>
      <c r="D53" s="23">
        <v>46</v>
      </c>
      <c r="E53" s="23"/>
      <c r="F53" s="23"/>
      <c r="G53" s="23"/>
      <c r="H53" s="32" t="e">
        <f>NA()</f>
        <v>#N/A</v>
      </c>
      <c r="I53" s="23"/>
      <c r="J53" s="176"/>
      <c r="K53" s="33" t="e">
        <f>NA()</f>
        <v>#N/A</v>
      </c>
      <c r="L53" s="24" t="e">
        <f t="shared" si="4"/>
        <v>#N/A</v>
      </c>
      <c r="M53" s="177"/>
      <c r="N53" s="26"/>
      <c r="O53" s="23"/>
    </row>
    <row r="54" spans="2:17" ht="20.100000000000001" hidden="1" customHeight="1" thickBot="1">
      <c r="B54" s="19">
        <v>49</v>
      </c>
      <c r="C54" s="30">
        <f t="shared" si="3"/>
        <v>0</v>
      </c>
      <c r="D54" s="23">
        <v>46</v>
      </c>
      <c r="E54" s="23"/>
      <c r="F54" s="23"/>
      <c r="G54" s="23"/>
      <c r="H54" s="32" t="e">
        <f>NA()</f>
        <v>#N/A</v>
      </c>
      <c r="I54" s="23"/>
      <c r="J54" s="176"/>
      <c r="K54" s="33" t="e">
        <f>NA()</f>
        <v>#N/A</v>
      </c>
      <c r="L54" s="24" t="e">
        <f t="shared" si="4"/>
        <v>#N/A</v>
      </c>
      <c r="M54" s="177"/>
      <c r="N54" s="26"/>
      <c r="O54" s="23"/>
    </row>
    <row r="55" spans="2:17" ht="21.75" hidden="1" thickBot="1">
      <c r="B55" s="19">
        <v>50</v>
      </c>
      <c r="C55" s="34" t="str">
        <f t="shared" ref="C55:C102" si="5">N55</f>
        <v>A1</v>
      </c>
      <c r="D55" s="35">
        <v>39</v>
      </c>
      <c r="E55" s="35" t="s">
        <v>61</v>
      </c>
      <c r="F55" s="35" t="s">
        <v>75</v>
      </c>
      <c r="G55" s="35"/>
      <c r="H55" s="36" t="s">
        <v>69</v>
      </c>
      <c r="I55" s="37">
        <v>0</v>
      </c>
      <c r="J55" s="176"/>
      <c r="K55" s="33" t="e">
        <f>NA()</f>
        <v>#N/A</v>
      </c>
      <c r="L55" s="24" t="e">
        <f t="shared" si="4"/>
        <v>#VALUE!</v>
      </c>
      <c r="M55" s="38" t="e">
        <f t="shared" ref="M55:M100" si="6">I55+L55</f>
        <v>#VALUE!</v>
      </c>
      <c r="N55" s="39" t="s">
        <v>61</v>
      </c>
      <c r="O55" s="88"/>
      <c r="P55" s="16"/>
    </row>
    <row r="56" spans="2:17" ht="21.75" hidden="1" thickBot="1">
      <c r="B56" s="19">
        <v>51</v>
      </c>
      <c r="C56" s="34" t="str">
        <f t="shared" si="5"/>
        <v>B1</v>
      </c>
      <c r="D56" s="35">
        <v>39</v>
      </c>
      <c r="E56" s="35" t="s">
        <v>62</v>
      </c>
      <c r="F56" s="35" t="s">
        <v>74</v>
      </c>
      <c r="G56" s="35"/>
      <c r="H56" s="35" t="s">
        <v>84</v>
      </c>
      <c r="I56" s="37">
        <v>0</v>
      </c>
      <c r="J56" s="176"/>
      <c r="K56" s="33" t="e">
        <f>NA()</f>
        <v>#N/A</v>
      </c>
      <c r="L56" s="24" t="e">
        <f t="shared" si="4"/>
        <v>#VALUE!</v>
      </c>
      <c r="M56" s="38" t="e">
        <f t="shared" si="6"/>
        <v>#VALUE!</v>
      </c>
      <c r="N56" s="39" t="s">
        <v>62</v>
      </c>
      <c r="O56" s="88"/>
      <c r="P56" s="16"/>
    </row>
    <row r="57" spans="2:17" ht="21.75" hidden="1" thickBot="1">
      <c r="B57" s="19">
        <v>52</v>
      </c>
      <c r="C57" s="34" t="str">
        <f t="shared" si="5"/>
        <v>C1</v>
      </c>
      <c r="D57" s="35">
        <v>39</v>
      </c>
      <c r="E57" s="35" t="s">
        <v>64</v>
      </c>
      <c r="F57" s="178"/>
      <c r="G57" s="35"/>
      <c r="H57" s="36" t="s">
        <v>69</v>
      </c>
      <c r="I57" s="37">
        <v>0</v>
      </c>
      <c r="J57" s="176"/>
      <c r="K57" s="33" t="e">
        <f>NA()</f>
        <v>#N/A</v>
      </c>
      <c r="L57" s="24" t="e">
        <f t="shared" si="4"/>
        <v>#VALUE!</v>
      </c>
      <c r="M57" s="38" t="e">
        <f t="shared" si="6"/>
        <v>#VALUE!</v>
      </c>
      <c r="N57" s="39" t="s">
        <v>64</v>
      </c>
      <c r="O57" s="88"/>
      <c r="P57" s="16"/>
    </row>
    <row r="58" spans="2:17" ht="21.75" hidden="1" thickBot="1">
      <c r="B58" s="19">
        <v>53</v>
      </c>
      <c r="C58" s="34" t="str">
        <f t="shared" si="5"/>
        <v>D1</v>
      </c>
      <c r="D58" s="35">
        <v>39</v>
      </c>
      <c r="E58" s="35" t="s">
        <v>65</v>
      </c>
      <c r="F58" s="178"/>
      <c r="G58" s="35"/>
      <c r="H58" s="35" t="s">
        <v>85</v>
      </c>
      <c r="I58" s="37">
        <v>0</v>
      </c>
      <c r="J58" s="176"/>
      <c r="K58" s="33" t="e">
        <f>NA()</f>
        <v>#N/A</v>
      </c>
      <c r="L58" s="24" t="e">
        <f t="shared" si="4"/>
        <v>#VALUE!</v>
      </c>
      <c r="M58" s="38" t="e">
        <f t="shared" si="6"/>
        <v>#VALUE!</v>
      </c>
      <c r="N58" s="39" t="s">
        <v>65</v>
      </c>
      <c r="O58" s="88"/>
      <c r="P58" s="16"/>
    </row>
    <row r="59" spans="2:17" ht="21.75" hidden="1" thickBot="1">
      <c r="B59" s="19">
        <v>54</v>
      </c>
      <c r="C59" s="34" t="str">
        <f t="shared" si="5"/>
        <v>E1</v>
      </c>
      <c r="D59" s="35">
        <v>39</v>
      </c>
      <c r="E59" s="35" t="s">
        <v>66</v>
      </c>
      <c r="F59" s="178"/>
      <c r="G59" s="35"/>
      <c r="H59" s="36" t="s">
        <v>69</v>
      </c>
      <c r="I59" s="37">
        <v>0</v>
      </c>
      <c r="J59" s="176"/>
      <c r="K59" s="33" t="e">
        <f>NA()</f>
        <v>#N/A</v>
      </c>
      <c r="L59" s="24" t="e">
        <f t="shared" si="4"/>
        <v>#VALUE!</v>
      </c>
      <c r="M59" s="38" t="e">
        <f t="shared" si="6"/>
        <v>#VALUE!</v>
      </c>
      <c r="N59" s="39" t="s">
        <v>66</v>
      </c>
      <c r="O59" s="88"/>
      <c r="P59" s="16"/>
    </row>
    <row r="60" spans="2:17" ht="21.75" hidden="1" thickBot="1">
      <c r="B60" s="19">
        <v>55</v>
      </c>
      <c r="C60" s="34" t="str">
        <f t="shared" si="5"/>
        <v>F1</v>
      </c>
      <c r="D60" s="35">
        <v>39</v>
      </c>
      <c r="E60" s="35" t="s">
        <v>67</v>
      </c>
      <c r="F60" s="178"/>
      <c r="G60" s="35"/>
      <c r="H60" s="35" t="s">
        <v>86</v>
      </c>
      <c r="I60" s="37">
        <v>0</v>
      </c>
      <c r="J60" s="176"/>
      <c r="K60" s="33" t="e">
        <f>NA()</f>
        <v>#N/A</v>
      </c>
      <c r="L60" s="24" t="e">
        <f t="shared" si="4"/>
        <v>#VALUE!</v>
      </c>
      <c r="M60" s="38" t="e">
        <f t="shared" si="6"/>
        <v>#VALUE!</v>
      </c>
      <c r="N60" s="39" t="s">
        <v>67</v>
      </c>
      <c r="O60" s="88"/>
      <c r="P60" s="16"/>
    </row>
    <row r="61" spans="2:17" ht="21.75" hidden="1" thickBot="1">
      <c r="B61" s="19">
        <v>56</v>
      </c>
      <c r="C61" s="34" t="str">
        <f t="shared" si="5"/>
        <v>G1</v>
      </c>
      <c r="D61" s="35">
        <v>39</v>
      </c>
      <c r="E61" s="35" t="s">
        <v>87</v>
      </c>
      <c r="F61" s="178"/>
      <c r="G61" s="35"/>
      <c r="H61" s="36" t="s">
        <v>69</v>
      </c>
      <c r="I61" s="37">
        <v>0</v>
      </c>
      <c r="J61" s="176"/>
      <c r="K61" s="33" t="e">
        <f>NA()</f>
        <v>#N/A</v>
      </c>
      <c r="L61" s="24" t="e">
        <f t="shared" si="4"/>
        <v>#VALUE!</v>
      </c>
      <c r="M61" s="38" t="e">
        <f t="shared" si="6"/>
        <v>#VALUE!</v>
      </c>
      <c r="N61" s="39" t="s">
        <v>87</v>
      </c>
      <c r="O61" s="88"/>
      <c r="P61" s="16"/>
    </row>
    <row r="62" spans="2:17" ht="21.75" hidden="1" thickBot="1">
      <c r="B62" s="19">
        <v>57</v>
      </c>
      <c r="C62" s="34" t="str">
        <f t="shared" si="5"/>
        <v>H1</v>
      </c>
      <c r="D62" s="35">
        <v>39</v>
      </c>
      <c r="E62" s="35" t="s">
        <v>88</v>
      </c>
      <c r="F62" s="178"/>
      <c r="G62" s="35"/>
      <c r="H62" s="35" t="s">
        <v>89</v>
      </c>
      <c r="I62" s="37">
        <v>0</v>
      </c>
      <c r="J62" s="92"/>
      <c r="K62" s="33" t="e">
        <f>NA()</f>
        <v>#N/A</v>
      </c>
      <c r="L62" s="24" t="e">
        <f t="shared" si="4"/>
        <v>#VALUE!</v>
      </c>
      <c r="M62" s="38" t="e">
        <f t="shared" si="6"/>
        <v>#VALUE!</v>
      </c>
      <c r="N62" s="39" t="s">
        <v>88</v>
      </c>
      <c r="O62" s="88"/>
      <c r="P62" s="16"/>
    </row>
    <row r="63" spans="2:17" ht="21.75" hidden="1" thickBot="1">
      <c r="B63" s="19">
        <v>58</v>
      </c>
      <c r="C63" s="34" t="str">
        <f t="shared" si="5"/>
        <v>A2</v>
      </c>
      <c r="D63" s="35">
        <v>39</v>
      </c>
      <c r="E63" s="35" t="s">
        <v>75</v>
      </c>
      <c r="F63" s="178"/>
      <c r="G63" s="35"/>
      <c r="H63" s="36" t="s">
        <v>69</v>
      </c>
      <c r="I63" s="37">
        <v>0</v>
      </c>
      <c r="J63" s="35"/>
      <c r="K63" s="33" t="e">
        <f>NA()</f>
        <v>#N/A</v>
      </c>
      <c r="L63" s="24" t="e">
        <f t="shared" si="4"/>
        <v>#VALUE!</v>
      </c>
      <c r="M63" s="38" t="e">
        <f t="shared" si="6"/>
        <v>#VALUE!</v>
      </c>
      <c r="N63" s="39" t="s">
        <v>75</v>
      </c>
      <c r="O63" s="88"/>
      <c r="P63" s="16"/>
    </row>
    <row r="64" spans="2:17" ht="21.75" hidden="1" thickBot="1">
      <c r="B64" s="19">
        <v>59</v>
      </c>
      <c r="C64" s="34" t="str">
        <f t="shared" si="5"/>
        <v>B2</v>
      </c>
      <c r="D64" s="35">
        <v>39</v>
      </c>
      <c r="E64" s="35" t="s">
        <v>74</v>
      </c>
      <c r="F64" s="178"/>
      <c r="G64" s="35"/>
      <c r="H64" s="35" t="s">
        <v>72</v>
      </c>
      <c r="I64" s="37">
        <v>0</v>
      </c>
      <c r="J64" s="35"/>
      <c r="K64" s="33" t="e">
        <f>NA()</f>
        <v>#N/A</v>
      </c>
      <c r="L64" s="24" t="e">
        <f t="shared" si="4"/>
        <v>#VALUE!</v>
      </c>
      <c r="M64" s="38" t="e">
        <f t="shared" si="6"/>
        <v>#VALUE!</v>
      </c>
      <c r="N64" s="39" t="s">
        <v>74</v>
      </c>
      <c r="O64" s="88"/>
      <c r="P64" s="16"/>
    </row>
    <row r="65" spans="2:16" ht="21.75" hidden="1" thickBot="1">
      <c r="B65" s="19">
        <v>60</v>
      </c>
      <c r="C65" s="34" t="str">
        <f t="shared" si="5"/>
        <v>C2</v>
      </c>
      <c r="D65" s="35">
        <v>39</v>
      </c>
      <c r="E65" s="35" t="s">
        <v>73</v>
      </c>
      <c r="F65" s="178"/>
      <c r="G65" s="35"/>
      <c r="H65" s="36" t="s">
        <v>69</v>
      </c>
      <c r="I65" s="37">
        <v>0</v>
      </c>
      <c r="J65" s="35"/>
      <c r="K65" s="33" t="e">
        <f>NA()</f>
        <v>#N/A</v>
      </c>
      <c r="L65" s="24" t="e">
        <f t="shared" si="4"/>
        <v>#VALUE!</v>
      </c>
      <c r="M65" s="38" t="e">
        <f t="shared" si="6"/>
        <v>#VALUE!</v>
      </c>
      <c r="N65" s="39" t="s">
        <v>73</v>
      </c>
      <c r="O65" s="88"/>
      <c r="P65" s="16"/>
    </row>
    <row r="66" spans="2:16" ht="21.75" hidden="1" thickBot="1">
      <c r="B66" s="19">
        <v>61</v>
      </c>
      <c r="C66" s="34" t="str">
        <f t="shared" si="5"/>
        <v>D2</v>
      </c>
      <c r="D66" s="35">
        <v>39</v>
      </c>
      <c r="E66" s="35" t="s">
        <v>71</v>
      </c>
      <c r="F66" s="178"/>
      <c r="G66" s="35"/>
      <c r="H66" s="35" t="s">
        <v>90</v>
      </c>
      <c r="I66" s="37">
        <v>0</v>
      </c>
      <c r="J66" s="35"/>
      <c r="K66" s="33" t="e">
        <f>NA()</f>
        <v>#N/A</v>
      </c>
      <c r="L66" s="24" t="e">
        <f t="shared" si="4"/>
        <v>#VALUE!</v>
      </c>
      <c r="M66" s="38" t="e">
        <f t="shared" si="6"/>
        <v>#VALUE!</v>
      </c>
      <c r="N66" s="39" t="s">
        <v>71</v>
      </c>
      <c r="O66" s="88"/>
      <c r="P66" s="16"/>
    </row>
    <row r="67" spans="2:16" ht="21.75" hidden="1" thickBot="1">
      <c r="B67" s="19">
        <v>62</v>
      </c>
      <c r="C67" s="34" t="str">
        <f t="shared" si="5"/>
        <v>E2</v>
      </c>
      <c r="D67" s="35">
        <v>39</v>
      </c>
      <c r="E67" s="35" t="s">
        <v>70</v>
      </c>
      <c r="F67" s="178"/>
      <c r="G67" s="35"/>
      <c r="H67" s="36" t="s">
        <v>69</v>
      </c>
      <c r="I67" s="37">
        <v>0</v>
      </c>
      <c r="J67" s="35"/>
      <c r="K67" s="33" t="e">
        <f>NA()</f>
        <v>#N/A</v>
      </c>
      <c r="L67" s="24" t="e">
        <f t="shared" si="4"/>
        <v>#VALUE!</v>
      </c>
      <c r="M67" s="38" t="e">
        <f t="shared" si="6"/>
        <v>#VALUE!</v>
      </c>
      <c r="N67" s="39" t="s">
        <v>70</v>
      </c>
      <c r="O67" s="88"/>
      <c r="P67" s="16"/>
    </row>
    <row r="68" spans="2:16" ht="21.75" hidden="1" thickBot="1">
      <c r="B68" s="19">
        <v>63</v>
      </c>
      <c r="C68" s="34" t="str">
        <f t="shared" si="5"/>
        <v>F2</v>
      </c>
      <c r="D68" s="35">
        <v>39</v>
      </c>
      <c r="E68" s="35" t="s">
        <v>91</v>
      </c>
      <c r="F68" s="178"/>
      <c r="G68" s="35"/>
      <c r="H68" s="35" t="s">
        <v>63</v>
      </c>
      <c r="I68" s="37">
        <v>0</v>
      </c>
      <c r="J68" s="35"/>
      <c r="K68" s="33" t="e">
        <f>NA()</f>
        <v>#N/A</v>
      </c>
      <c r="L68" s="24" t="e">
        <f t="shared" si="4"/>
        <v>#VALUE!</v>
      </c>
      <c r="M68" s="38" t="e">
        <f t="shared" si="6"/>
        <v>#VALUE!</v>
      </c>
      <c r="N68" s="39" t="s">
        <v>91</v>
      </c>
      <c r="O68" s="88"/>
      <c r="P68" s="16"/>
    </row>
    <row r="69" spans="2:16" ht="21.75" hidden="1" thickBot="1">
      <c r="B69" s="19">
        <v>64</v>
      </c>
      <c r="C69" s="34" t="str">
        <f t="shared" si="5"/>
        <v>G2</v>
      </c>
      <c r="D69" s="35">
        <v>39</v>
      </c>
      <c r="E69" s="35" t="s">
        <v>92</v>
      </c>
      <c r="F69" s="178"/>
      <c r="G69" s="35"/>
      <c r="H69" s="36" t="s">
        <v>69</v>
      </c>
      <c r="I69" s="37">
        <v>0</v>
      </c>
      <c r="J69" s="35"/>
      <c r="K69" s="33" t="e">
        <f>NA()</f>
        <v>#N/A</v>
      </c>
      <c r="L69" s="24" t="e">
        <f t="shared" si="4"/>
        <v>#VALUE!</v>
      </c>
      <c r="M69" s="38" t="e">
        <f t="shared" si="6"/>
        <v>#VALUE!</v>
      </c>
      <c r="N69" s="39" t="s">
        <v>92</v>
      </c>
      <c r="O69" s="88"/>
      <c r="P69" s="16"/>
    </row>
    <row r="70" spans="2:16" ht="21.75" hidden="1" thickBot="1">
      <c r="B70" s="19">
        <v>65</v>
      </c>
      <c r="C70" s="34" t="str">
        <f t="shared" si="5"/>
        <v>H2</v>
      </c>
      <c r="D70" s="35">
        <v>39</v>
      </c>
      <c r="E70" s="35" t="s">
        <v>68</v>
      </c>
      <c r="F70" s="178"/>
      <c r="G70" s="35"/>
      <c r="H70" s="35" t="s">
        <v>93</v>
      </c>
      <c r="I70" s="37">
        <v>0</v>
      </c>
      <c r="J70" s="35"/>
      <c r="K70" s="33" t="e">
        <f>NA()</f>
        <v>#N/A</v>
      </c>
      <c r="L70" s="24" t="e">
        <f t="shared" si="4"/>
        <v>#VALUE!</v>
      </c>
      <c r="M70" s="38" t="e">
        <f t="shared" si="6"/>
        <v>#VALUE!</v>
      </c>
      <c r="N70" s="39" t="s">
        <v>68</v>
      </c>
      <c r="O70" s="88"/>
      <c r="P70" s="16"/>
    </row>
    <row r="71" spans="2:16" ht="21.75" hidden="1" thickBot="1">
      <c r="B71" s="19">
        <v>66</v>
      </c>
      <c r="C71" s="34" t="str">
        <f t="shared" si="5"/>
        <v>A3</v>
      </c>
      <c r="D71" s="35">
        <v>39</v>
      </c>
      <c r="E71" s="35" t="s">
        <v>94</v>
      </c>
      <c r="F71" s="178"/>
      <c r="G71" s="35"/>
      <c r="H71" s="36" t="s">
        <v>69</v>
      </c>
      <c r="I71" s="37">
        <v>0</v>
      </c>
      <c r="J71" s="35"/>
      <c r="K71" s="33" t="e">
        <f>NA()</f>
        <v>#N/A</v>
      </c>
      <c r="L71" s="24" t="e">
        <f t="shared" si="4"/>
        <v>#VALUE!</v>
      </c>
      <c r="M71" s="38" t="e">
        <f t="shared" si="6"/>
        <v>#VALUE!</v>
      </c>
      <c r="N71" s="39" t="s">
        <v>94</v>
      </c>
      <c r="O71" s="88"/>
      <c r="P71" s="16"/>
    </row>
    <row r="72" spans="2:16" ht="21.75" hidden="1" thickBot="1">
      <c r="B72" s="19">
        <v>67</v>
      </c>
      <c r="C72" s="34" t="str">
        <f t="shared" si="5"/>
        <v>B3</v>
      </c>
      <c r="D72" s="35">
        <v>39</v>
      </c>
      <c r="E72" s="35" t="s">
        <v>95</v>
      </c>
      <c r="F72" s="178"/>
      <c r="G72" s="35"/>
      <c r="H72" s="35" t="s">
        <v>96</v>
      </c>
      <c r="I72" s="37">
        <v>0</v>
      </c>
      <c r="J72" s="35"/>
      <c r="K72" s="33" t="e">
        <f>NA()</f>
        <v>#N/A</v>
      </c>
      <c r="L72" s="24" t="e">
        <f t="shared" si="4"/>
        <v>#VALUE!</v>
      </c>
      <c r="M72" s="38" t="e">
        <f t="shared" si="6"/>
        <v>#VALUE!</v>
      </c>
      <c r="N72" s="39" t="s">
        <v>95</v>
      </c>
      <c r="O72" s="88"/>
      <c r="P72" s="16"/>
    </row>
    <row r="73" spans="2:16" ht="21.75" hidden="1" thickBot="1">
      <c r="B73" s="19">
        <v>68</v>
      </c>
      <c r="C73" s="34" t="str">
        <f t="shared" si="5"/>
        <v>C3</v>
      </c>
      <c r="D73" s="35">
        <v>39</v>
      </c>
      <c r="E73" s="35" t="s">
        <v>77</v>
      </c>
      <c r="F73" s="178"/>
      <c r="G73" s="35"/>
      <c r="H73" s="36" t="s">
        <v>69</v>
      </c>
      <c r="I73" s="37">
        <v>0</v>
      </c>
      <c r="J73" s="35"/>
      <c r="K73" s="33" t="e">
        <f>NA()</f>
        <v>#N/A</v>
      </c>
      <c r="L73" s="24" t="e">
        <f t="shared" si="4"/>
        <v>#VALUE!</v>
      </c>
      <c r="M73" s="38" t="e">
        <f t="shared" si="6"/>
        <v>#VALUE!</v>
      </c>
      <c r="N73" s="39" t="s">
        <v>77</v>
      </c>
      <c r="O73" s="88"/>
      <c r="P73" s="16"/>
    </row>
    <row r="74" spans="2:16" ht="21.75" hidden="1" thickBot="1">
      <c r="B74" s="19">
        <v>69</v>
      </c>
      <c r="C74" s="34" t="str">
        <f t="shared" si="5"/>
        <v>D3</v>
      </c>
      <c r="D74" s="35">
        <v>39</v>
      </c>
      <c r="E74" s="35" t="s">
        <v>97</v>
      </c>
      <c r="F74" s="178"/>
      <c r="G74" s="35"/>
      <c r="H74" s="35" t="s">
        <v>98</v>
      </c>
      <c r="I74" s="37">
        <v>0</v>
      </c>
      <c r="J74" s="35"/>
      <c r="K74" s="33" t="e">
        <f>NA()</f>
        <v>#N/A</v>
      </c>
      <c r="L74" s="24" t="e">
        <f t="shared" si="4"/>
        <v>#VALUE!</v>
      </c>
      <c r="M74" s="38" t="e">
        <f t="shared" si="6"/>
        <v>#VALUE!</v>
      </c>
      <c r="N74" s="39" t="s">
        <v>97</v>
      </c>
      <c r="O74" s="88"/>
      <c r="P74" s="16"/>
    </row>
    <row r="75" spans="2:16" ht="21.75" hidden="1" thickBot="1">
      <c r="B75" s="19">
        <v>70</v>
      </c>
      <c r="C75" s="34" t="str">
        <f t="shared" si="5"/>
        <v>E3</v>
      </c>
      <c r="D75" s="35">
        <v>39</v>
      </c>
      <c r="E75" s="35" t="s">
        <v>99</v>
      </c>
      <c r="F75" s="178"/>
      <c r="G75" s="35"/>
      <c r="H75" s="36" t="s">
        <v>69</v>
      </c>
      <c r="I75" s="37">
        <v>0</v>
      </c>
      <c r="J75" s="35"/>
      <c r="K75" s="33" t="e">
        <f>NA()</f>
        <v>#N/A</v>
      </c>
      <c r="L75" s="24" t="e">
        <f t="shared" si="4"/>
        <v>#VALUE!</v>
      </c>
      <c r="M75" s="38" t="e">
        <f t="shared" si="6"/>
        <v>#VALUE!</v>
      </c>
      <c r="N75" s="39" t="s">
        <v>99</v>
      </c>
      <c r="O75" s="88"/>
      <c r="P75" s="16"/>
    </row>
    <row r="76" spans="2:16" ht="21.75" hidden="1" thickBot="1">
      <c r="B76" s="19">
        <v>71</v>
      </c>
      <c r="C76" s="34" t="str">
        <f t="shared" si="5"/>
        <v>F3</v>
      </c>
      <c r="D76" s="35">
        <v>39</v>
      </c>
      <c r="E76" s="35" t="s">
        <v>78</v>
      </c>
      <c r="F76" s="178"/>
      <c r="G76" s="35"/>
      <c r="H76" s="35" t="s">
        <v>100</v>
      </c>
      <c r="I76" s="37">
        <v>0</v>
      </c>
      <c r="J76" s="35"/>
      <c r="K76" s="33" t="e">
        <f>NA()</f>
        <v>#N/A</v>
      </c>
      <c r="L76" s="24" t="e">
        <f t="shared" si="4"/>
        <v>#VALUE!</v>
      </c>
      <c r="M76" s="38" t="e">
        <f t="shared" si="6"/>
        <v>#VALUE!</v>
      </c>
      <c r="N76" s="39" t="s">
        <v>78</v>
      </c>
      <c r="O76" s="88"/>
      <c r="P76" s="16"/>
    </row>
    <row r="77" spans="2:16" ht="21.75" hidden="1" thickBot="1">
      <c r="B77" s="19">
        <v>72</v>
      </c>
      <c r="C77" s="34" t="str">
        <f t="shared" si="5"/>
        <v>G3</v>
      </c>
      <c r="D77" s="35">
        <v>39</v>
      </c>
      <c r="E77" s="35" t="s">
        <v>79</v>
      </c>
      <c r="F77" s="178"/>
      <c r="G77" s="35"/>
      <c r="H77" s="36" t="s">
        <v>69</v>
      </c>
      <c r="I77" s="37">
        <v>0</v>
      </c>
      <c r="J77" s="35"/>
      <c r="K77" s="33" t="e">
        <f>NA()</f>
        <v>#N/A</v>
      </c>
      <c r="L77" s="24" t="e">
        <f t="shared" si="4"/>
        <v>#VALUE!</v>
      </c>
      <c r="M77" s="38" t="e">
        <f t="shared" si="6"/>
        <v>#VALUE!</v>
      </c>
      <c r="N77" s="39" t="s">
        <v>79</v>
      </c>
      <c r="O77" s="88"/>
      <c r="P77" s="16"/>
    </row>
    <row r="78" spans="2:16" ht="21.75" hidden="1" thickBot="1">
      <c r="B78" s="19">
        <v>73</v>
      </c>
      <c r="C78" s="34" t="str">
        <f t="shared" si="5"/>
        <v>H3</v>
      </c>
      <c r="D78" s="35">
        <v>39</v>
      </c>
      <c r="E78" s="35" t="s">
        <v>80</v>
      </c>
      <c r="F78" s="178"/>
      <c r="G78" s="35"/>
      <c r="H78" s="35" t="s">
        <v>76</v>
      </c>
      <c r="I78" s="37">
        <v>0</v>
      </c>
      <c r="J78" s="35"/>
      <c r="K78" s="33" t="e">
        <f>NA()</f>
        <v>#N/A</v>
      </c>
      <c r="L78" s="24" t="e">
        <f t="shared" si="4"/>
        <v>#VALUE!</v>
      </c>
      <c r="M78" s="38" t="e">
        <f t="shared" si="6"/>
        <v>#VALUE!</v>
      </c>
      <c r="N78" s="39" t="s">
        <v>80</v>
      </c>
      <c r="O78" s="88"/>
      <c r="P78" s="16"/>
    </row>
    <row r="79" spans="2:16" ht="21.75" hidden="1" thickBot="1">
      <c r="B79" s="19">
        <v>74</v>
      </c>
      <c r="C79" s="34" t="str">
        <f t="shared" si="5"/>
        <v>A4</v>
      </c>
      <c r="D79" s="35">
        <v>39</v>
      </c>
      <c r="E79" s="39" t="s">
        <v>101</v>
      </c>
      <c r="F79" s="178"/>
      <c r="G79" s="35"/>
      <c r="H79" s="36" t="s">
        <v>69</v>
      </c>
      <c r="I79" s="37">
        <v>0</v>
      </c>
      <c r="J79" s="35"/>
      <c r="K79" s="33" t="e">
        <f>NA()</f>
        <v>#N/A</v>
      </c>
      <c r="L79" s="24" t="e">
        <f t="shared" si="4"/>
        <v>#VALUE!</v>
      </c>
      <c r="M79" s="38" t="e">
        <f t="shared" si="6"/>
        <v>#VALUE!</v>
      </c>
      <c r="N79" s="39" t="s">
        <v>102</v>
      </c>
      <c r="O79" s="88"/>
      <c r="P79" s="16"/>
    </row>
    <row r="80" spans="2:16" ht="21.75" hidden="1" thickBot="1">
      <c r="B80" s="19">
        <v>75</v>
      </c>
      <c r="C80" s="34" t="str">
        <f t="shared" si="5"/>
        <v>B4</v>
      </c>
      <c r="D80" s="35">
        <v>39</v>
      </c>
      <c r="E80" s="39" t="s">
        <v>101</v>
      </c>
      <c r="F80" s="178"/>
      <c r="G80" s="35"/>
      <c r="H80" s="35" t="s">
        <v>103</v>
      </c>
      <c r="I80" s="37">
        <v>0</v>
      </c>
      <c r="J80" s="35"/>
      <c r="K80" s="33" t="e">
        <f>NA()</f>
        <v>#N/A</v>
      </c>
      <c r="L80" s="24" t="e">
        <f t="shared" si="4"/>
        <v>#VALUE!</v>
      </c>
      <c r="M80" s="38" t="e">
        <f t="shared" si="6"/>
        <v>#VALUE!</v>
      </c>
      <c r="N80" s="39" t="s">
        <v>104</v>
      </c>
      <c r="O80" s="88"/>
      <c r="P80" s="16"/>
    </row>
    <row r="81" spans="2:16" ht="21.75" hidden="1" thickBot="1">
      <c r="B81" s="19">
        <v>76</v>
      </c>
      <c r="C81" s="34" t="str">
        <f t="shared" si="5"/>
        <v>C4</v>
      </c>
      <c r="D81" s="35">
        <v>39</v>
      </c>
      <c r="E81" s="39" t="s">
        <v>101</v>
      </c>
      <c r="F81" s="178"/>
      <c r="G81" s="35"/>
      <c r="H81" s="36" t="s">
        <v>69</v>
      </c>
      <c r="I81" s="37">
        <v>0</v>
      </c>
      <c r="J81" s="35"/>
      <c r="K81" s="33" t="e">
        <f>NA()</f>
        <v>#N/A</v>
      </c>
      <c r="L81" s="24" t="e">
        <f t="shared" si="4"/>
        <v>#VALUE!</v>
      </c>
      <c r="M81" s="38" t="e">
        <f t="shared" si="6"/>
        <v>#VALUE!</v>
      </c>
      <c r="N81" s="39" t="s">
        <v>105</v>
      </c>
      <c r="O81" s="88"/>
      <c r="P81" s="16"/>
    </row>
    <row r="82" spans="2:16" ht="21.75" hidden="1" thickBot="1">
      <c r="B82" s="19">
        <v>77</v>
      </c>
      <c r="C82" s="34" t="str">
        <f t="shared" si="5"/>
        <v>D4</v>
      </c>
      <c r="D82" s="35">
        <v>39</v>
      </c>
      <c r="E82" s="39" t="s">
        <v>101</v>
      </c>
      <c r="F82" s="178"/>
      <c r="G82" s="35"/>
      <c r="H82" s="35" t="s">
        <v>106</v>
      </c>
      <c r="I82" s="37">
        <v>0</v>
      </c>
      <c r="J82" s="35"/>
      <c r="K82" s="33" t="e">
        <f>NA()</f>
        <v>#N/A</v>
      </c>
      <c r="L82" s="24" t="e">
        <f t="shared" si="4"/>
        <v>#VALUE!</v>
      </c>
      <c r="M82" s="38" t="e">
        <f t="shared" si="6"/>
        <v>#VALUE!</v>
      </c>
      <c r="N82" s="39" t="s">
        <v>107</v>
      </c>
      <c r="O82" s="88"/>
      <c r="P82" s="16"/>
    </row>
    <row r="83" spans="2:16" ht="21.75" hidden="1" thickBot="1">
      <c r="B83" s="19">
        <v>78</v>
      </c>
      <c r="C83" s="34" t="str">
        <f t="shared" si="5"/>
        <v>E4</v>
      </c>
      <c r="D83" s="35">
        <v>39</v>
      </c>
      <c r="E83" s="39" t="s">
        <v>108</v>
      </c>
      <c r="F83" s="178"/>
      <c r="G83" s="35"/>
      <c r="H83" s="36" t="s">
        <v>69</v>
      </c>
      <c r="I83" s="37">
        <v>0</v>
      </c>
      <c r="J83" s="35"/>
      <c r="K83" s="33" t="e">
        <f>NA()</f>
        <v>#N/A</v>
      </c>
      <c r="L83" s="24" t="e">
        <f t="shared" si="4"/>
        <v>#VALUE!</v>
      </c>
      <c r="M83" s="38" t="e">
        <f t="shared" si="6"/>
        <v>#VALUE!</v>
      </c>
      <c r="N83" s="39" t="s">
        <v>108</v>
      </c>
      <c r="O83" s="88"/>
      <c r="P83" s="16"/>
    </row>
    <row r="84" spans="2:16" ht="21.75" hidden="1" thickBot="1">
      <c r="B84" s="19">
        <v>79</v>
      </c>
      <c r="C84" s="34" t="str">
        <f t="shared" si="5"/>
        <v>F4</v>
      </c>
      <c r="D84" s="35">
        <v>39</v>
      </c>
      <c r="E84" s="39" t="s">
        <v>109</v>
      </c>
      <c r="F84" s="178"/>
      <c r="G84" s="35"/>
      <c r="H84" s="35" t="s">
        <v>110</v>
      </c>
      <c r="I84" s="37">
        <v>0</v>
      </c>
      <c r="J84" s="35"/>
      <c r="K84" s="33" t="e">
        <f>NA()</f>
        <v>#N/A</v>
      </c>
      <c r="L84" s="24" t="e">
        <f t="shared" si="4"/>
        <v>#VALUE!</v>
      </c>
      <c r="M84" s="38" t="e">
        <f t="shared" si="6"/>
        <v>#VALUE!</v>
      </c>
      <c r="N84" s="39" t="s">
        <v>109</v>
      </c>
      <c r="O84" s="88"/>
      <c r="P84" s="16"/>
    </row>
    <row r="85" spans="2:16" ht="21.75" hidden="1" thickBot="1">
      <c r="B85" s="19">
        <v>80</v>
      </c>
      <c r="C85" s="34" t="str">
        <f t="shared" si="5"/>
        <v>G4</v>
      </c>
      <c r="D85" s="35">
        <v>39</v>
      </c>
      <c r="E85" s="39" t="s">
        <v>111</v>
      </c>
      <c r="F85" s="178"/>
      <c r="G85" s="35"/>
      <c r="H85" s="36" t="s">
        <v>69</v>
      </c>
      <c r="I85" s="37">
        <v>0</v>
      </c>
      <c r="J85" s="35"/>
      <c r="K85" s="33" t="e">
        <f>NA()</f>
        <v>#N/A</v>
      </c>
      <c r="L85" s="24" t="e">
        <f t="shared" si="4"/>
        <v>#VALUE!</v>
      </c>
      <c r="M85" s="38" t="e">
        <f t="shared" si="6"/>
        <v>#VALUE!</v>
      </c>
      <c r="N85" s="39" t="s">
        <v>111</v>
      </c>
      <c r="O85" s="88"/>
      <c r="P85" s="16"/>
    </row>
    <row r="86" spans="2:16" ht="21.75" hidden="1" thickBot="1">
      <c r="B86" s="19">
        <v>81</v>
      </c>
      <c r="C86" s="34" t="str">
        <f t="shared" si="5"/>
        <v>H4</v>
      </c>
      <c r="D86" s="35">
        <v>39</v>
      </c>
      <c r="E86" s="39" t="s">
        <v>81</v>
      </c>
      <c r="F86" s="178"/>
      <c r="G86" s="35"/>
      <c r="H86" s="35" t="s">
        <v>112</v>
      </c>
      <c r="I86" s="37">
        <v>0</v>
      </c>
      <c r="J86" s="35"/>
      <c r="K86" s="33" t="e">
        <f>NA()</f>
        <v>#N/A</v>
      </c>
      <c r="L86" s="24" t="e">
        <f t="shared" si="4"/>
        <v>#VALUE!</v>
      </c>
      <c r="M86" s="38" t="e">
        <f t="shared" si="6"/>
        <v>#VALUE!</v>
      </c>
      <c r="N86" s="39" t="s">
        <v>81</v>
      </c>
      <c r="O86" s="88"/>
      <c r="P86" s="16"/>
    </row>
    <row r="87" spans="2:16" ht="21.75" hidden="1" thickBot="1">
      <c r="B87" s="19">
        <v>82</v>
      </c>
      <c r="C87" s="34" t="str">
        <f t="shared" si="5"/>
        <v>AA1</v>
      </c>
      <c r="D87" s="35">
        <v>39</v>
      </c>
      <c r="E87" s="39" t="s">
        <v>53</v>
      </c>
      <c r="F87" s="178"/>
      <c r="G87" s="35"/>
      <c r="H87" s="36" t="s">
        <v>69</v>
      </c>
      <c r="I87" s="37">
        <v>0</v>
      </c>
      <c r="J87" s="35"/>
      <c r="K87" s="33" t="e">
        <f>NA()</f>
        <v>#N/A</v>
      </c>
      <c r="L87" s="24" t="e">
        <f t="shared" si="4"/>
        <v>#VALUE!</v>
      </c>
      <c r="M87" s="38" t="e">
        <f t="shared" si="6"/>
        <v>#VALUE!</v>
      </c>
      <c r="N87" s="39" t="s">
        <v>53</v>
      </c>
      <c r="O87" s="88"/>
      <c r="P87" s="16"/>
    </row>
    <row r="88" spans="2:16" ht="21.75" hidden="1" thickBot="1">
      <c r="B88" s="19">
        <v>83</v>
      </c>
      <c r="C88" s="34" t="str">
        <f t="shared" si="5"/>
        <v>AA2</v>
      </c>
      <c r="D88" s="35">
        <v>39</v>
      </c>
      <c r="E88" s="39" t="s">
        <v>54</v>
      </c>
      <c r="F88" s="178"/>
      <c r="G88" s="35"/>
      <c r="H88" s="35" t="s">
        <v>113</v>
      </c>
      <c r="I88" s="37">
        <v>0</v>
      </c>
      <c r="J88" s="35"/>
      <c r="K88" s="33" t="e">
        <f>NA()</f>
        <v>#N/A</v>
      </c>
      <c r="L88" s="24" t="e">
        <f t="shared" si="4"/>
        <v>#VALUE!</v>
      </c>
      <c r="M88" s="38" t="e">
        <f t="shared" si="6"/>
        <v>#VALUE!</v>
      </c>
      <c r="N88" s="39" t="s">
        <v>54</v>
      </c>
      <c r="O88" s="88"/>
      <c r="P88" s="16"/>
    </row>
    <row r="89" spans="2:16" ht="21.75" hidden="1" thickBot="1">
      <c r="B89" s="19">
        <v>84</v>
      </c>
      <c r="C89" s="34" t="str">
        <f t="shared" si="5"/>
        <v>AA3</v>
      </c>
      <c r="D89" s="35">
        <v>39</v>
      </c>
      <c r="E89" s="39" t="s">
        <v>55</v>
      </c>
      <c r="F89" s="178"/>
      <c r="G89" s="35"/>
      <c r="H89" s="36" t="s">
        <v>69</v>
      </c>
      <c r="I89" s="37">
        <v>0</v>
      </c>
      <c r="J89" s="35"/>
      <c r="K89" s="33" t="e">
        <f>NA()</f>
        <v>#N/A</v>
      </c>
      <c r="L89" s="24" t="e">
        <f t="shared" si="4"/>
        <v>#VALUE!</v>
      </c>
      <c r="M89" s="38" t="e">
        <f t="shared" si="6"/>
        <v>#VALUE!</v>
      </c>
      <c r="N89" s="39" t="s">
        <v>55</v>
      </c>
      <c r="O89" s="88"/>
      <c r="P89" s="16"/>
    </row>
    <row r="90" spans="2:16" ht="21.75" hidden="1" thickBot="1">
      <c r="B90" s="19">
        <v>85</v>
      </c>
      <c r="C90" s="34" t="str">
        <f t="shared" si="5"/>
        <v>AA4</v>
      </c>
      <c r="D90" s="35">
        <v>39</v>
      </c>
      <c r="E90" s="39" t="s">
        <v>56</v>
      </c>
      <c r="F90" s="178"/>
      <c r="G90" s="35"/>
      <c r="H90" s="35" t="s">
        <v>114</v>
      </c>
      <c r="I90" s="37">
        <v>0</v>
      </c>
      <c r="J90" s="35"/>
      <c r="K90" s="33" t="e">
        <f>NA()</f>
        <v>#N/A</v>
      </c>
      <c r="L90" s="24" t="e">
        <f t="shared" si="4"/>
        <v>#VALUE!</v>
      </c>
      <c r="M90" s="38" t="e">
        <f t="shared" si="6"/>
        <v>#VALUE!</v>
      </c>
      <c r="N90" s="39" t="s">
        <v>56</v>
      </c>
      <c r="O90" s="88"/>
      <c r="P90" s="16"/>
    </row>
    <row r="91" spans="2:16" ht="21.75" hidden="1" thickBot="1">
      <c r="B91" s="19">
        <v>86</v>
      </c>
      <c r="C91" s="34" t="str">
        <f t="shared" si="5"/>
        <v>AB1</v>
      </c>
      <c r="D91" s="35">
        <v>39</v>
      </c>
      <c r="E91" s="39" t="s">
        <v>115</v>
      </c>
      <c r="F91" s="178"/>
      <c r="G91" s="35"/>
      <c r="H91" s="36" t="s">
        <v>69</v>
      </c>
      <c r="I91" s="37">
        <v>0</v>
      </c>
      <c r="J91" s="35"/>
      <c r="K91" s="33" t="e">
        <f>NA()</f>
        <v>#N/A</v>
      </c>
      <c r="L91" s="24" t="e">
        <f t="shared" si="4"/>
        <v>#VALUE!</v>
      </c>
      <c r="M91" s="38" t="e">
        <f t="shared" si="6"/>
        <v>#VALUE!</v>
      </c>
      <c r="N91" s="39" t="s">
        <v>115</v>
      </c>
      <c r="O91" s="88"/>
      <c r="P91" s="16"/>
    </row>
    <row r="92" spans="2:16" ht="21.75" hidden="1" thickBot="1">
      <c r="B92" s="19">
        <v>87</v>
      </c>
      <c r="C92" s="34" t="str">
        <f t="shared" si="5"/>
        <v>AB2</v>
      </c>
      <c r="D92" s="35">
        <v>39</v>
      </c>
      <c r="E92" s="39" t="s">
        <v>116</v>
      </c>
      <c r="F92" s="178"/>
      <c r="G92" s="35"/>
      <c r="H92" s="35" t="s">
        <v>117</v>
      </c>
      <c r="I92" s="37">
        <v>0</v>
      </c>
      <c r="J92" s="35"/>
      <c r="K92" s="33" t="e">
        <f>NA()</f>
        <v>#N/A</v>
      </c>
      <c r="L92" s="24" t="e">
        <f t="shared" si="4"/>
        <v>#VALUE!</v>
      </c>
      <c r="M92" s="38" t="e">
        <f t="shared" si="6"/>
        <v>#VALUE!</v>
      </c>
      <c r="N92" s="39" t="s">
        <v>116</v>
      </c>
      <c r="O92" s="88"/>
      <c r="P92" s="16"/>
    </row>
    <row r="93" spans="2:16" ht="21.75" hidden="1" thickBot="1">
      <c r="B93" s="19">
        <v>88</v>
      </c>
      <c r="C93" s="34" t="str">
        <f t="shared" si="5"/>
        <v>AB3</v>
      </c>
      <c r="D93" s="35">
        <v>39</v>
      </c>
      <c r="E93" s="39" t="s">
        <v>118</v>
      </c>
      <c r="F93" s="178"/>
      <c r="G93" s="35"/>
      <c r="H93" s="36" t="s">
        <v>69</v>
      </c>
      <c r="I93" s="37">
        <v>0</v>
      </c>
      <c r="J93" s="35"/>
      <c r="K93" s="33" t="e">
        <f>NA()</f>
        <v>#N/A</v>
      </c>
      <c r="L93" s="24" t="e">
        <f t="shared" si="4"/>
        <v>#VALUE!</v>
      </c>
      <c r="M93" s="38" t="e">
        <f t="shared" si="6"/>
        <v>#VALUE!</v>
      </c>
      <c r="N93" s="39" t="s">
        <v>118</v>
      </c>
      <c r="O93" s="88"/>
      <c r="P93" s="16"/>
    </row>
    <row r="94" spans="2:16" ht="21.75" hidden="1" thickBot="1">
      <c r="B94" s="19">
        <v>89</v>
      </c>
      <c r="C94" s="34" t="str">
        <f t="shared" si="5"/>
        <v>AB4</v>
      </c>
      <c r="D94" s="35">
        <v>39</v>
      </c>
      <c r="E94" s="39" t="s">
        <v>119</v>
      </c>
      <c r="F94" s="178"/>
      <c r="G94" s="35"/>
      <c r="H94" s="35" t="s">
        <v>120</v>
      </c>
      <c r="I94" s="37">
        <v>0</v>
      </c>
      <c r="J94" s="35"/>
      <c r="K94" s="33" t="e">
        <f>NA()</f>
        <v>#N/A</v>
      </c>
      <c r="L94" s="24" t="e">
        <f t="shared" si="4"/>
        <v>#VALUE!</v>
      </c>
      <c r="M94" s="38" t="e">
        <f t="shared" si="6"/>
        <v>#VALUE!</v>
      </c>
      <c r="N94" s="39" t="s">
        <v>119</v>
      </c>
      <c r="O94" s="88"/>
      <c r="P94" s="16"/>
    </row>
    <row r="95" spans="2:16" ht="21.75" hidden="1" thickBot="1">
      <c r="B95" s="19">
        <v>90</v>
      </c>
      <c r="C95" s="34" t="str">
        <f t="shared" si="5"/>
        <v>P3</v>
      </c>
      <c r="D95" s="35">
        <v>39</v>
      </c>
      <c r="E95" s="39" t="s">
        <v>101</v>
      </c>
      <c r="F95" s="178"/>
      <c r="G95" s="35"/>
      <c r="H95" s="36" t="s">
        <v>69</v>
      </c>
      <c r="I95" s="37">
        <v>0</v>
      </c>
      <c r="J95" s="35"/>
      <c r="K95" s="33" t="e">
        <f>NA()</f>
        <v>#N/A</v>
      </c>
      <c r="L95" s="24" t="e">
        <f t="shared" si="4"/>
        <v>#VALUE!</v>
      </c>
      <c r="M95" s="38" t="e">
        <f t="shared" si="6"/>
        <v>#VALUE!</v>
      </c>
      <c r="N95" s="39" t="s">
        <v>121</v>
      </c>
      <c r="O95" s="88"/>
      <c r="P95" s="16"/>
    </row>
    <row r="96" spans="2:16" ht="21.75" hidden="1" thickBot="1">
      <c r="B96" s="19">
        <v>91</v>
      </c>
      <c r="C96" s="34" t="str">
        <f t="shared" si="5"/>
        <v>O3</v>
      </c>
      <c r="D96" s="35">
        <v>39</v>
      </c>
      <c r="E96" s="39" t="s">
        <v>101</v>
      </c>
      <c r="F96" s="178"/>
      <c r="G96" s="35"/>
      <c r="H96" s="35" t="s">
        <v>122</v>
      </c>
      <c r="I96" s="37">
        <v>0</v>
      </c>
      <c r="J96" s="35"/>
      <c r="K96" s="33" t="e">
        <f>NA()</f>
        <v>#N/A</v>
      </c>
      <c r="L96" s="24" t="e">
        <f t="shared" si="4"/>
        <v>#VALUE!</v>
      </c>
      <c r="M96" s="38" t="e">
        <f t="shared" si="6"/>
        <v>#VALUE!</v>
      </c>
      <c r="N96" s="39" t="s">
        <v>123</v>
      </c>
      <c r="O96" s="88"/>
      <c r="P96" s="16"/>
    </row>
    <row r="97" spans="2:16" ht="21.75" hidden="1" thickBot="1">
      <c r="B97" s="19">
        <v>92</v>
      </c>
      <c r="C97" s="34" t="str">
        <f t="shared" si="5"/>
        <v>N3</v>
      </c>
      <c r="D97" s="35">
        <v>39</v>
      </c>
      <c r="E97" s="39" t="s">
        <v>101</v>
      </c>
      <c r="F97" s="178"/>
      <c r="G97" s="35"/>
      <c r="H97" s="36" t="s">
        <v>69</v>
      </c>
      <c r="I97" s="37">
        <v>0</v>
      </c>
      <c r="J97" s="35"/>
      <c r="K97" s="33" t="e">
        <f>NA()</f>
        <v>#N/A</v>
      </c>
      <c r="L97" s="24" t="e">
        <f t="shared" si="4"/>
        <v>#VALUE!</v>
      </c>
      <c r="M97" s="38" t="e">
        <f t="shared" si="6"/>
        <v>#VALUE!</v>
      </c>
      <c r="N97" s="39" t="s">
        <v>124</v>
      </c>
      <c r="O97" s="88"/>
      <c r="P97" s="16"/>
    </row>
    <row r="98" spans="2:16" ht="21.75" hidden="1" thickBot="1">
      <c r="B98" s="19">
        <v>93</v>
      </c>
      <c r="C98" s="34" t="str">
        <f t="shared" si="5"/>
        <v>M3</v>
      </c>
      <c r="D98" s="35">
        <v>39</v>
      </c>
      <c r="E98" s="39" t="s">
        <v>101</v>
      </c>
      <c r="F98" s="178"/>
      <c r="G98" s="35"/>
      <c r="H98" s="35" t="s">
        <v>125</v>
      </c>
      <c r="I98" s="37">
        <v>0</v>
      </c>
      <c r="J98" s="35"/>
      <c r="K98" s="33" t="e">
        <f>NA()</f>
        <v>#N/A</v>
      </c>
      <c r="L98" s="24" t="e">
        <f t="shared" si="4"/>
        <v>#VALUE!</v>
      </c>
      <c r="M98" s="38" t="e">
        <f t="shared" si="6"/>
        <v>#VALUE!</v>
      </c>
      <c r="N98" s="39" t="s">
        <v>126</v>
      </c>
      <c r="O98" s="88"/>
      <c r="P98" s="16"/>
    </row>
    <row r="99" spans="2:16" ht="21.75" hidden="1" thickBot="1">
      <c r="B99" s="19">
        <v>94</v>
      </c>
      <c r="C99" s="34" t="str">
        <f t="shared" si="5"/>
        <v>L3</v>
      </c>
      <c r="D99" s="35">
        <v>39</v>
      </c>
      <c r="E99" s="39" t="s">
        <v>101</v>
      </c>
      <c r="F99" s="178"/>
      <c r="G99" s="35"/>
      <c r="H99" s="36" t="s">
        <v>69</v>
      </c>
      <c r="I99" s="37">
        <v>0</v>
      </c>
      <c r="J99" s="35"/>
      <c r="K99" s="33" t="e">
        <f>NA()</f>
        <v>#N/A</v>
      </c>
      <c r="L99" s="24" t="e">
        <f t="shared" si="4"/>
        <v>#VALUE!</v>
      </c>
      <c r="M99" s="38" t="e">
        <f t="shared" si="6"/>
        <v>#VALUE!</v>
      </c>
      <c r="N99" s="39" t="s">
        <v>127</v>
      </c>
      <c r="O99" s="88"/>
      <c r="P99" s="16"/>
    </row>
    <row r="100" spans="2:16" ht="21" hidden="1">
      <c r="B100" s="19">
        <v>95</v>
      </c>
      <c r="C100" s="34" t="str">
        <f t="shared" si="5"/>
        <v>K3</v>
      </c>
      <c r="D100" s="35">
        <v>39</v>
      </c>
      <c r="E100" s="39" t="s">
        <v>101</v>
      </c>
      <c r="F100" s="178"/>
      <c r="G100" s="35"/>
      <c r="H100" s="35" t="s">
        <v>128</v>
      </c>
      <c r="I100" s="37">
        <v>0</v>
      </c>
      <c r="J100" s="35"/>
      <c r="K100" s="33" t="e">
        <f>NA()</f>
        <v>#N/A</v>
      </c>
      <c r="L100" s="24" t="e">
        <f t="shared" si="4"/>
        <v>#VALUE!</v>
      </c>
      <c r="M100" s="38" t="e">
        <f t="shared" si="6"/>
        <v>#VALUE!</v>
      </c>
      <c r="N100" s="39" t="s">
        <v>129</v>
      </c>
      <c r="O100" s="88"/>
      <c r="P100" s="16"/>
    </row>
    <row r="101" spans="2:16" ht="21" hidden="1">
      <c r="B101" s="92"/>
      <c r="C101" s="91" t="str">
        <f t="shared" si="5"/>
        <v>J3</v>
      </c>
      <c r="D101" s="92"/>
      <c r="E101" s="40" t="s">
        <v>101</v>
      </c>
      <c r="F101" s="92"/>
      <c r="G101" s="92"/>
      <c r="H101" s="92"/>
      <c r="I101" s="92"/>
      <c r="J101" s="92"/>
      <c r="K101" s="92"/>
      <c r="L101" s="24">
        <f t="shared" si="4"/>
        <v>0</v>
      </c>
      <c r="M101" s="91"/>
      <c r="N101" s="40" t="s">
        <v>130</v>
      </c>
      <c r="O101" s="92"/>
    </row>
    <row r="102" spans="2:16" ht="21" hidden="1">
      <c r="B102" s="41">
        <v>88</v>
      </c>
      <c r="C102" s="34" t="str">
        <f t="shared" si="5"/>
        <v>I3</v>
      </c>
      <c r="D102" s="35">
        <v>40</v>
      </c>
      <c r="E102" s="39" t="s">
        <v>131</v>
      </c>
      <c r="F102" s="178"/>
      <c r="G102" s="35"/>
      <c r="H102" s="35" t="s">
        <v>132</v>
      </c>
      <c r="I102" s="37">
        <v>1</v>
      </c>
      <c r="J102" s="35"/>
      <c r="K102" s="36" t="s">
        <v>69</v>
      </c>
      <c r="L102" s="24" t="e">
        <f t="shared" si="4"/>
        <v>#VALUE!</v>
      </c>
      <c r="M102" s="38" t="e">
        <f>I102+L102</f>
        <v>#VALUE!</v>
      </c>
      <c r="N102" s="39" t="s">
        <v>131</v>
      </c>
      <c r="O102" s="88"/>
      <c r="P102" s="16"/>
    </row>
    <row r="103" spans="2:16">
      <c r="B103" s="42"/>
    </row>
    <row r="105" spans="2:16">
      <c r="C105" s="1" t="s">
        <v>808</v>
      </c>
      <c r="E105" s="1" t="s">
        <v>633</v>
      </c>
      <c r="F105" s="541" t="s">
        <v>812</v>
      </c>
      <c r="H105" s="1" t="s">
        <v>803</v>
      </c>
      <c r="I105" s="456" t="s">
        <v>450</v>
      </c>
      <c r="L105" t="s">
        <v>804</v>
      </c>
    </row>
    <row r="106" spans="2:16">
      <c r="C106" s="1" t="s">
        <v>809</v>
      </c>
      <c r="E106" s="1" t="s">
        <v>624</v>
      </c>
      <c r="F106" s="456" t="s">
        <v>813</v>
      </c>
      <c r="H106" s="1" t="s">
        <v>803</v>
      </c>
      <c r="I106" s="456" t="s">
        <v>446</v>
      </c>
      <c r="L106" t="s">
        <v>805</v>
      </c>
    </row>
    <row r="107" spans="2:16">
      <c r="C107" s="1" t="s">
        <v>810</v>
      </c>
      <c r="E107" s="1" t="s">
        <v>625</v>
      </c>
      <c r="F107" s="456" t="s">
        <v>815</v>
      </c>
      <c r="H107" s="1" t="s">
        <v>803</v>
      </c>
      <c r="I107" s="456" t="s">
        <v>458</v>
      </c>
      <c r="L107" t="s">
        <v>806</v>
      </c>
    </row>
    <row r="108" spans="2:16">
      <c r="C108" s="1" t="s">
        <v>811</v>
      </c>
      <c r="E108" s="1" t="s">
        <v>248</v>
      </c>
      <c r="F108" s="456" t="s">
        <v>429</v>
      </c>
      <c r="H108" s="1" t="s">
        <v>803</v>
      </c>
      <c r="I108" s="541" t="s">
        <v>817</v>
      </c>
      <c r="L108" t="s">
        <v>807</v>
      </c>
    </row>
  </sheetData>
  <sheetProtection selectLockedCells="1" selectUnlockedCells="1"/>
  <phoneticPr fontId="49" type="noConversion"/>
  <printOptions horizontalCentered="1"/>
  <pageMargins left="0.25" right="0.25" top="0.75" bottom="0.75" header="0.51180555555555551" footer="0.51180555555555551"/>
  <pageSetup paperSize="9" scale="45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I47"/>
  <sheetViews>
    <sheetView zoomScale="80" zoomScaleNormal="80" workbookViewId="0">
      <selection activeCell="B17" sqref="B17"/>
    </sheetView>
  </sheetViews>
  <sheetFormatPr defaultColWidth="7.6640625" defaultRowHeight="15.75"/>
  <cols>
    <col min="1" max="1" width="6.21875" style="43" customWidth="1"/>
    <col min="2" max="2" width="15.44140625" style="43" customWidth="1"/>
    <col min="3" max="3" width="15.6640625" style="43" customWidth="1"/>
    <col min="4" max="4" width="13.6640625" style="43" customWidth="1"/>
    <col min="5" max="5" width="19.5546875" style="43" customWidth="1"/>
    <col min="6" max="7" width="13.6640625" style="43" customWidth="1"/>
    <col min="8" max="10" width="10.6640625" style="43" customWidth="1"/>
    <col min="11" max="16384" width="7.6640625" style="43"/>
  </cols>
  <sheetData>
    <row r="1" spans="2:5">
      <c r="B1" s="179" t="s">
        <v>697</v>
      </c>
      <c r="C1" s="180"/>
      <c r="D1" s="180"/>
      <c r="E1" s="181"/>
    </row>
    <row r="2" spans="2:5">
      <c r="B2" s="179"/>
      <c r="C2" s="180"/>
      <c r="D2" s="180"/>
      <c r="E2" s="181"/>
    </row>
    <row r="3" spans="2:5">
      <c r="B3" s="179" t="s">
        <v>340</v>
      </c>
      <c r="C3" s="180"/>
      <c r="D3" s="180"/>
      <c r="E3" s="181"/>
    </row>
    <row r="4" spans="2:5">
      <c r="B4" s="179" t="s">
        <v>924</v>
      </c>
      <c r="C4" s="180"/>
      <c r="D4" s="180"/>
      <c r="E4" s="181"/>
    </row>
    <row r="5" spans="2:5">
      <c r="B5" s="179" t="s">
        <v>925</v>
      </c>
      <c r="C5" s="180"/>
      <c r="D5" s="180"/>
      <c r="E5" s="181"/>
    </row>
    <row r="6" spans="2:5">
      <c r="B6" s="182" t="s">
        <v>133</v>
      </c>
      <c r="C6" s="182" t="s">
        <v>53</v>
      </c>
      <c r="D6" s="183"/>
      <c r="E6" s="181"/>
    </row>
    <row r="7" spans="2:5">
      <c r="B7" s="182" t="s">
        <v>134</v>
      </c>
      <c r="C7" s="182" t="s">
        <v>54</v>
      </c>
      <c r="D7" s="183"/>
      <c r="E7" s="181"/>
    </row>
    <row r="8" spans="2:5">
      <c r="B8" s="182" t="s">
        <v>135</v>
      </c>
      <c r="C8" s="182" t="s">
        <v>55</v>
      </c>
      <c r="D8" s="183"/>
      <c r="E8" s="181"/>
    </row>
    <row r="9" spans="2:5">
      <c r="B9" s="182" t="s">
        <v>136</v>
      </c>
      <c r="C9" s="182" t="s">
        <v>56</v>
      </c>
      <c r="D9" s="183"/>
      <c r="E9" s="181"/>
    </row>
    <row r="10" spans="2:5">
      <c r="B10" s="182" t="s">
        <v>137</v>
      </c>
      <c r="C10" s="182" t="s">
        <v>57</v>
      </c>
      <c r="D10" s="183"/>
      <c r="E10" s="181"/>
    </row>
    <row r="11" spans="2:5">
      <c r="B11" s="182" t="s">
        <v>138</v>
      </c>
      <c r="C11" s="182" t="s">
        <v>58</v>
      </c>
      <c r="D11" s="183"/>
      <c r="E11" s="181"/>
    </row>
    <row r="12" spans="2:5">
      <c r="B12" s="182" t="s">
        <v>139</v>
      </c>
      <c r="C12" s="182" t="s">
        <v>59</v>
      </c>
      <c r="D12" s="183"/>
      <c r="E12" s="181"/>
    </row>
    <row r="13" spans="2:5">
      <c r="B13" s="182" t="s">
        <v>140</v>
      </c>
      <c r="C13" s="182" t="s">
        <v>60</v>
      </c>
      <c r="D13" s="183"/>
      <c r="E13" s="181"/>
    </row>
    <row r="14" spans="2:5">
      <c r="B14" s="179" t="s">
        <v>926</v>
      </c>
      <c r="C14" s="181"/>
      <c r="D14" s="181"/>
      <c r="E14" s="181"/>
    </row>
    <row r="15" spans="2:5">
      <c r="B15" s="179" t="s">
        <v>322</v>
      </c>
      <c r="C15" s="181"/>
      <c r="D15" s="181"/>
      <c r="E15" s="181"/>
    </row>
    <row r="16" spans="2:5">
      <c r="B16" s="179"/>
      <c r="C16" s="181"/>
      <c r="D16" s="181"/>
      <c r="E16" s="181"/>
    </row>
    <row r="17" spans="2:7">
      <c r="B17" s="179" t="s">
        <v>927</v>
      </c>
      <c r="C17" s="181"/>
      <c r="D17" s="181"/>
      <c r="E17" s="181"/>
    </row>
    <row r="18" spans="2:7">
      <c r="B18" s="184"/>
    </row>
    <row r="19" spans="2:7">
      <c r="B19" s="184"/>
    </row>
    <row r="20" spans="2:7">
      <c r="B20" s="43" t="s">
        <v>323</v>
      </c>
      <c r="C20" s="92"/>
      <c r="D20" s="44"/>
      <c r="E20" s="44"/>
      <c r="F20" s="44"/>
    </row>
    <row r="21" spans="2:7">
      <c r="C21" s="185"/>
      <c r="D21" s="44"/>
      <c r="E21" s="44"/>
      <c r="F21" s="44"/>
      <c r="G21" s="44"/>
    </row>
    <row r="22" spans="2:7">
      <c r="B22" s="186" t="e">
        <f>男甲賽程!#REF!</f>
        <v>#REF!</v>
      </c>
      <c r="C22" s="491"/>
      <c r="D22" s="44"/>
      <c r="E22" s="187"/>
      <c r="F22" s="44"/>
      <c r="G22" s="44"/>
    </row>
    <row r="23" spans="2:7">
      <c r="C23" s="492" t="s">
        <v>141</v>
      </c>
      <c r="D23" s="191"/>
      <c r="E23" s="186"/>
      <c r="F23" s="44"/>
    </row>
    <row r="24" spans="2:7">
      <c r="C24" s="493"/>
      <c r="E24" s="494"/>
      <c r="F24" s="44"/>
      <c r="G24" s="44"/>
    </row>
    <row r="25" spans="2:7">
      <c r="B25" s="186" t="e">
        <f>男甲賽程!#REF!</f>
        <v>#REF!</v>
      </c>
      <c r="C25" s="289"/>
      <c r="D25" s="188"/>
      <c r="E25" s="495"/>
      <c r="F25" s="44"/>
      <c r="G25" s="128"/>
    </row>
    <row r="26" spans="2:7">
      <c r="B26" s="43" t="s">
        <v>102</v>
      </c>
      <c r="C26" s="189"/>
      <c r="D26" s="44" t="s">
        <v>142</v>
      </c>
      <c r="E26" s="308"/>
      <c r="F26" s="44"/>
      <c r="G26" s="351"/>
    </row>
    <row r="27" spans="2:7">
      <c r="C27" s="92"/>
      <c r="D27" s="128" t="s">
        <v>143</v>
      </c>
      <c r="E27" s="492"/>
      <c r="F27" s="496"/>
      <c r="G27" s="497"/>
    </row>
    <row r="28" spans="2:7">
      <c r="B28" s="43" t="s">
        <v>94</v>
      </c>
      <c r="C28" s="58"/>
      <c r="D28" s="44"/>
      <c r="E28" s="308"/>
      <c r="F28" s="44"/>
      <c r="G28" s="128"/>
    </row>
    <row r="29" spans="2:7">
      <c r="B29" s="186" t="str">
        <f>男甲賽程!Q7</f>
        <v>ALPS-WL</v>
      </c>
      <c r="C29" s="491"/>
      <c r="D29" s="44"/>
      <c r="E29" s="308"/>
      <c r="F29" s="44"/>
      <c r="G29" s="44"/>
    </row>
    <row r="30" spans="2:7">
      <c r="C30" s="492" t="s">
        <v>144</v>
      </c>
      <c r="D30" s="284"/>
      <c r="E30" s="289"/>
      <c r="F30" s="44"/>
    </row>
    <row r="31" spans="2:7">
      <c r="C31" s="308"/>
      <c r="D31" s="44"/>
      <c r="E31" s="186"/>
      <c r="F31" s="44"/>
      <c r="G31" s="44"/>
    </row>
    <row r="32" spans="2:7">
      <c r="B32" s="186" t="e">
        <f>男甲賽程!#REF!</f>
        <v>#REF!</v>
      </c>
      <c r="C32" s="289"/>
      <c r="D32" s="44"/>
      <c r="E32" s="187"/>
      <c r="G32" s="44"/>
    </row>
    <row r="33" spans="2:9">
      <c r="B33" s="43" t="s">
        <v>75</v>
      </c>
      <c r="C33" s="187"/>
      <c r="E33" s="44"/>
      <c r="G33" s="44"/>
      <c r="H33" s="44"/>
      <c r="I33" s="44"/>
    </row>
    <row r="34" spans="2:9">
      <c r="C34" s="44"/>
      <c r="E34" s="191"/>
      <c r="F34" s="58"/>
    </row>
    <row r="35" spans="2:9">
      <c r="E35" s="186"/>
      <c r="F35" s="192"/>
    </row>
    <row r="36" spans="2:9">
      <c r="F36" s="192"/>
    </row>
    <row r="37" spans="2:9">
      <c r="B37" s="498"/>
      <c r="E37" s="328"/>
      <c r="F37" s="314"/>
    </row>
    <row r="38" spans="2:9">
      <c r="B38" s="498" t="s">
        <v>147</v>
      </c>
      <c r="C38" s="43" t="s">
        <v>148</v>
      </c>
      <c r="E38" s="44" t="s">
        <v>145</v>
      </c>
      <c r="F38" s="499"/>
      <c r="G38" s="193"/>
    </row>
    <row r="39" spans="2:9">
      <c r="B39" s="498" t="s">
        <v>149</v>
      </c>
      <c r="C39" s="43" t="s">
        <v>150</v>
      </c>
      <c r="E39" s="44" t="s">
        <v>146</v>
      </c>
      <c r="F39" s="194"/>
      <c r="G39" s="195"/>
    </row>
    <row r="40" spans="2:9">
      <c r="B40" s="498" t="s">
        <v>151</v>
      </c>
      <c r="C40" s="43" t="s">
        <v>152</v>
      </c>
      <c r="E40" s="328"/>
      <c r="F40" s="314"/>
    </row>
    <row r="41" spans="2:9">
      <c r="B41" s="44" t="s">
        <v>153</v>
      </c>
      <c r="C41" s="43" t="s">
        <v>154</v>
      </c>
      <c r="E41" s="328"/>
      <c r="F41" s="314"/>
    </row>
    <row r="42" spans="2:9">
      <c r="E42" s="186"/>
      <c r="F42" s="500"/>
    </row>
    <row r="43" spans="2:9">
      <c r="E43" s="57"/>
    </row>
    <row r="47" spans="2:9">
      <c r="F47" s="44"/>
    </row>
  </sheetData>
  <sheetProtection selectLockedCells="1" selectUnlockedCells="1"/>
  <phoneticPr fontId="49" type="noConversion"/>
  <pageMargins left="0.35416666666666669" right="0.35416666666666669" top="0.78749999999999998" bottom="0.78749999999999998" header="0.51180555555555551" footer="0.51180555555555551"/>
  <pageSetup paperSize="9" scale="81" firstPageNumber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U54"/>
  <sheetViews>
    <sheetView topLeftCell="E1" zoomScale="70" zoomScaleNormal="70" workbookViewId="0">
      <selection activeCell="J12" sqref="J12"/>
    </sheetView>
  </sheetViews>
  <sheetFormatPr defaultColWidth="7.6640625" defaultRowHeight="15.75"/>
  <cols>
    <col min="1" max="1" width="0" style="65" hidden="1" customWidth="1"/>
    <col min="2" max="2" width="8.109375" style="65" customWidth="1"/>
    <col min="3" max="3" width="6.6640625" style="65" customWidth="1"/>
    <col min="4" max="4" width="11.6640625" style="65" bestFit="1" customWidth="1"/>
    <col min="5" max="5" width="13.33203125" style="65" customWidth="1"/>
    <col min="6" max="6" width="4.33203125" style="65" customWidth="1"/>
    <col min="7" max="7" width="13.5546875" style="65" customWidth="1"/>
    <col min="8" max="8" width="17" style="65" customWidth="1"/>
    <col min="9" max="9" width="2.6640625" style="65" customWidth="1"/>
    <col min="10" max="10" width="15.6640625" style="65" customWidth="1"/>
    <col min="11" max="14" width="7.6640625" style="197"/>
    <col min="15" max="15" width="30.6640625" style="65" customWidth="1"/>
    <col min="16" max="16" width="7.6640625" style="65"/>
    <col min="17" max="17" width="12.44140625" style="65" customWidth="1"/>
    <col min="18" max="19" width="7.6640625" style="65"/>
    <col min="20" max="20" width="7.5546875" style="65" bestFit="1" customWidth="1"/>
    <col min="21" max="16384" width="7.6640625" style="65"/>
  </cols>
  <sheetData>
    <row r="1" spans="1:21" ht="23.25">
      <c r="B1" s="45" t="s">
        <v>155</v>
      </c>
      <c r="C1" s="196"/>
      <c r="D1" s="196"/>
      <c r="E1" s="51"/>
      <c r="G1" s="197"/>
      <c r="H1" s="198"/>
    </row>
    <row r="2" spans="1:21" ht="24">
      <c r="B2" s="199" t="s">
        <v>324</v>
      </c>
      <c r="C2" s="200"/>
      <c r="D2" s="196"/>
      <c r="E2" s="51"/>
      <c r="G2" s="197"/>
      <c r="H2" s="198"/>
    </row>
    <row r="3" spans="1:21" ht="18.75">
      <c r="D3" s="201"/>
      <c r="E3" s="197"/>
      <c r="F3" s="197"/>
      <c r="G3" s="202"/>
      <c r="H3" s="203"/>
      <c r="I3" s="203"/>
      <c r="J3" s="203"/>
      <c r="K3" s="204" t="s">
        <v>325</v>
      </c>
      <c r="L3" s="197" t="s">
        <v>326</v>
      </c>
      <c r="M3" s="197" t="s">
        <v>326</v>
      </c>
      <c r="N3" s="197" t="s">
        <v>325</v>
      </c>
    </row>
    <row r="4" spans="1:21" ht="18.75">
      <c r="A4" s="205" t="s">
        <v>83</v>
      </c>
      <c r="B4" s="48"/>
      <c r="C4" s="206" t="s">
        <v>157</v>
      </c>
      <c r="D4" s="207" t="s">
        <v>158</v>
      </c>
      <c r="E4" s="130"/>
      <c r="F4" s="208" t="s">
        <v>159</v>
      </c>
      <c r="G4" s="206"/>
      <c r="H4" s="47" t="s">
        <v>160</v>
      </c>
      <c r="I4" s="209"/>
      <c r="J4" s="47" t="s">
        <v>161</v>
      </c>
      <c r="K4" s="46"/>
      <c r="L4" s="46"/>
      <c r="M4" s="46"/>
      <c r="N4" s="46"/>
    </row>
    <row r="5" spans="1:21" ht="16.5" customHeight="1" thickBot="1">
      <c r="A5" s="48" t="s">
        <v>162</v>
      </c>
      <c r="B5" s="210"/>
      <c r="C5" s="211" t="s">
        <v>327</v>
      </c>
      <c r="D5" s="212" t="s">
        <v>156</v>
      </c>
      <c r="E5" s="130"/>
      <c r="F5" s="213" t="s">
        <v>328</v>
      </c>
      <c r="G5" s="211"/>
      <c r="H5" s="49" t="s">
        <v>47</v>
      </c>
      <c r="I5" s="48"/>
      <c r="J5" s="49" t="s">
        <v>47</v>
      </c>
      <c r="K5" s="46"/>
      <c r="L5" s="46"/>
      <c r="M5" s="46"/>
      <c r="N5" s="46"/>
      <c r="P5" s="50" t="s">
        <v>163</v>
      </c>
      <c r="Q5" s="51" t="s">
        <v>46</v>
      </c>
      <c r="R5" s="51" t="s">
        <v>164</v>
      </c>
      <c r="S5" s="51" t="s">
        <v>285</v>
      </c>
      <c r="T5" s="51" t="s">
        <v>165</v>
      </c>
      <c r="U5" s="51" t="s">
        <v>52</v>
      </c>
    </row>
    <row r="6" spans="1:21" ht="20.25" thickTop="1" thickBot="1">
      <c r="A6" s="52" t="e">
        <f>IF(#REF!&lt;&gt;#REF!,#REF!,"")</f>
        <v>#REF!</v>
      </c>
      <c r="B6" s="214">
        <v>1</v>
      </c>
      <c r="C6" s="215" t="s">
        <v>166</v>
      </c>
      <c r="D6" s="216">
        <v>1</v>
      </c>
      <c r="E6" s="217" t="s">
        <v>55</v>
      </c>
      <c r="F6" s="218" t="s">
        <v>167</v>
      </c>
      <c r="G6" s="219" t="s">
        <v>60</v>
      </c>
      <c r="H6" s="53" t="str">
        <f>VLOOKUP(E6,MD!$C$6:$K$102,3,FALSE)</f>
        <v xml:space="preserve">ALPS - WL </v>
      </c>
      <c r="I6" s="53" t="s">
        <v>167</v>
      </c>
      <c r="J6" s="53" t="str">
        <f>VLOOKUP(G6,MD!$C$6:$K$102,3,FALSE)</f>
        <v xml:space="preserve">Alps CAUTION </v>
      </c>
      <c r="K6" s="46">
        <v>2</v>
      </c>
      <c r="L6" s="46">
        <f>21+21</f>
        <v>42</v>
      </c>
      <c r="M6" s="46">
        <f>19+17</f>
        <v>36</v>
      </c>
      <c r="N6" s="46">
        <v>0</v>
      </c>
      <c r="O6" s="65" t="s">
        <v>949</v>
      </c>
      <c r="P6" s="209">
        <v>1</v>
      </c>
      <c r="Q6" s="220" t="s">
        <v>962</v>
      </c>
      <c r="R6" s="220">
        <v>5</v>
      </c>
      <c r="S6" s="220">
        <v>1</v>
      </c>
      <c r="T6" s="220">
        <v>0</v>
      </c>
      <c r="U6" s="220">
        <f>R6*3+S6*1+T6*0</f>
        <v>16</v>
      </c>
    </row>
    <row r="7" spans="1:21" ht="20.25" thickTop="1" thickBot="1">
      <c r="A7" s="54" t="e">
        <f>IF(#REF!&lt;&gt;#REF!,#REF!,"")</f>
        <v>#REF!</v>
      </c>
      <c r="B7" s="221">
        <v>2</v>
      </c>
      <c r="C7" s="215" t="s">
        <v>166</v>
      </c>
      <c r="D7" s="216">
        <v>2</v>
      </c>
      <c r="E7" s="217" t="s">
        <v>56</v>
      </c>
      <c r="F7" s="218" t="s">
        <v>167</v>
      </c>
      <c r="G7" s="219" t="s">
        <v>59</v>
      </c>
      <c r="H7" s="53" t="str">
        <f>VLOOKUP(E7,MD!$C$6:$K$102,3,FALSE)</f>
        <v xml:space="preserve">ALPS YK </v>
      </c>
      <c r="I7" s="53" t="s">
        <v>167</v>
      </c>
      <c r="J7" s="53" t="str">
        <f>VLOOKUP(G7,MD!$C$6:$K$102,3,FALSE)</f>
        <v>SA</v>
      </c>
      <c r="K7" s="46">
        <v>0</v>
      </c>
      <c r="L7" s="46">
        <f>19+15</f>
        <v>34</v>
      </c>
      <c r="M7" s="46">
        <f>21+21</f>
        <v>42</v>
      </c>
      <c r="N7" s="46">
        <v>2</v>
      </c>
      <c r="O7" s="65" t="s">
        <v>950</v>
      </c>
      <c r="P7" s="209">
        <v>2</v>
      </c>
      <c r="Q7" s="220" t="s">
        <v>959</v>
      </c>
      <c r="R7" s="220">
        <v>3</v>
      </c>
      <c r="S7" s="220">
        <v>2</v>
      </c>
      <c r="T7" s="220">
        <v>1</v>
      </c>
      <c r="U7" s="220">
        <f t="shared" ref="U7:U13" si="0">R7*3+S7*1+T7*0</f>
        <v>11</v>
      </c>
    </row>
    <row r="8" spans="1:21" ht="20.25" thickTop="1" thickBot="1">
      <c r="A8" s="54" t="e">
        <f>IF(#REF!&lt;&gt;#REF!,#REF!,"")</f>
        <v>#REF!</v>
      </c>
      <c r="B8" s="214">
        <v>3</v>
      </c>
      <c r="C8" s="215" t="s">
        <v>166</v>
      </c>
      <c r="D8" s="216">
        <v>3</v>
      </c>
      <c r="E8" s="217" t="s">
        <v>53</v>
      </c>
      <c r="F8" s="218" t="s">
        <v>167</v>
      </c>
      <c r="G8" s="219" t="s">
        <v>58</v>
      </c>
      <c r="H8" s="53" t="str">
        <f>VLOOKUP(E8,MD!$C$6:$K$102,3,FALSE)</f>
        <v>SCAA LM</v>
      </c>
      <c r="I8" s="53" t="s">
        <v>167</v>
      </c>
      <c r="J8" s="53" t="str">
        <f>VLOOKUP(G8,MD!$C$6:$K$102,3,FALSE)</f>
        <v>Alps-Dr. Chan</v>
      </c>
      <c r="K8" s="46">
        <v>1</v>
      </c>
      <c r="L8" s="46">
        <f>21+5</f>
        <v>26</v>
      </c>
      <c r="M8" s="46">
        <f>17+21</f>
        <v>38</v>
      </c>
      <c r="N8" s="46">
        <v>1</v>
      </c>
      <c r="O8" s="65" t="s">
        <v>966</v>
      </c>
      <c r="P8" s="209">
        <v>3</v>
      </c>
      <c r="Q8" s="220" t="s">
        <v>960</v>
      </c>
      <c r="R8" s="220">
        <v>3</v>
      </c>
      <c r="S8" s="220">
        <v>2</v>
      </c>
      <c r="T8" s="220">
        <v>1</v>
      </c>
      <c r="U8" s="220">
        <f t="shared" si="0"/>
        <v>11</v>
      </c>
    </row>
    <row r="9" spans="1:21" ht="20.25" thickTop="1" thickBot="1">
      <c r="A9" s="54" t="e">
        <f>IF(#REF!&lt;&gt;#REF!,#REF!,"")</f>
        <v>#REF!</v>
      </c>
      <c r="B9" s="221">
        <v>4</v>
      </c>
      <c r="C9" s="215" t="s">
        <v>166</v>
      </c>
      <c r="D9" s="216">
        <v>4</v>
      </c>
      <c r="E9" s="222" t="s">
        <v>57</v>
      </c>
      <c r="F9" s="223" t="s">
        <v>167</v>
      </c>
      <c r="G9" s="224" t="s">
        <v>54</v>
      </c>
      <c r="H9" s="53" t="str">
        <f>VLOOKUP(E9,MD!$C$6:$K$102,3,FALSE)</f>
        <v xml:space="preserve">ALPS - T&amp;W </v>
      </c>
      <c r="I9" s="53" t="s">
        <v>167</v>
      </c>
      <c r="J9" s="53" t="str">
        <f>VLOOKUP(G9,MD!$C$6:$K$102,3,FALSE)</f>
        <v>2R</v>
      </c>
      <c r="K9" s="46">
        <v>0</v>
      </c>
      <c r="L9" s="46">
        <f>19+12</f>
        <v>31</v>
      </c>
      <c r="M9" s="46">
        <f>21+21</f>
        <v>42</v>
      </c>
      <c r="N9" s="46">
        <v>2</v>
      </c>
      <c r="O9" s="65" t="s">
        <v>951</v>
      </c>
      <c r="P9" s="209">
        <v>4</v>
      </c>
      <c r="Q9" s="220" t="s">
        <v>963</v>
      </c>
      <c r="R9" s="220">
        <v>2</v>
      </c>
      <c r="S9" s="220">
        <v>1</v>
      </c>
      <c r="T9" s="220">
        <v>3</v>
      </c>
      <c r="U9" s="220">
        <f t="shared" si="0"/>
        <v>7</v>
      </c>
    </row>
    <row r="10" spans="1:21" ht="20.25" thickTop="1" thickBot="1">
      <c r="A10" s="54" t="e">
        <f>IF(#REF!&lt;&gt;#REF!,#REF!,"")</f>
        <v>#REF!</v>
      </c>
      <c r="B10" s="214">
        <v>5</v>
      </c>
      <c r="C10" s="215" t="s">
        <v>166</v>
      </c>
      <c r="D10" s="216">
        <v>5</v>
      </c>
      <c r="E10" s="217" t="s">
        <v>54</v>
      </c>
      <c r="F10" s="218" t="s">
        <v>167</v>
      </c>
      <c r="G10" s="219" t="s">
        <v>59</v>
      </c>
      <c r="H10" s="53" t="str">
        <f>VLOOKUP(E10,MD!$C$6:$K$102,3,FALSE)</f>
        <v>2R</v>
      </c>
      <c r="I10" s="53" t="s">
        <v>167</v>
      </c>
      <c r="J10" s="53" t="str">
        <f>VLOOKUP(G10,MD!$C$6:$K$102,3,FALSE)</f>
        <v>SA</v>
      </c>
      <c r="K10" s="46">
        <v>2</v>
      </c>
      <c r="L10" s="46">
        <f>21+21</f>
        <v>42</v>
      </c>
      <c r="M10" s="46">
        <f>16+14</f>
        <v>30</v>
      </c>
      <c r="N10" s="46">
        <v>0</v>
      </c>
      <c r="O10" s="65" t="s">
        <v>952</v>
      </c>
      <c r="P10" s="209">
        <v>5</v>
      </c>
      <c r="Q10" s="220" t="s">
        <v>961</v>
      </c>
      <c r="R10" s="220">
        <v>2</v>
      </c>
      <c r="S10" s="220">
        <v>1</v>
      </c>
      <c r="T10" s="220">
        <v>3</v>
      </c>
      <c r="U10" s="220">
        <f t="shared" si="0"/>
        <v>7</v>
      </c>
    </row>
    <row r="11" spans="1:21" ht="20.25" thickTop="1" thickBot="1">
      <c r="A11" s="54"/>
      <c r="B11" s="221">
        <v>6</v>
      </c>
      <c r="C11" s="215" t="s">
        <v>166</v>
      </c>
      <c r="D11" s="216">
        <v>6</v>
      </c>
      <c r="E11" s="217" t="s">
        <v>58</v>
      </c>
      <c r="F11" s="218" t="s">
        <v>167</v>
      </c>
      <c r="G11" s="219" t="s">
        <v>55</v>
      </c>
      <c r="H11" s="53" t="str">
        <f>VLOOKUP(E11,MD!$C$6:$K$102,3,FALSE)</f>
        <v>Alps-Dr. Chan</v>
      </c>
      <c r="I11" s="53" t="s">
        <v>167</v>
      </c>
      <c r="J11" s="53" t="str">
        <f>VLOOKUP(G11,MD!$C$6:$K$102,3,FALSE)</f>
        <v xml:space="preserve">ALPS - WL </v>
      </c>
      <c r="K11" s="46">
        <v>0</v>
      </c>
      <c r="L11" s="46">
        <f>14+16</f>
        <v>30</v>
      </c>
      <c r="M11" s="46">
        <f>21+21</f>
        <v>42</v>
      </c>
      <c r="N11" s="46">
        <v>2</v>
      </c>
      <c r="O11" s="65" t="s">
        <v>953</v>
      </c>
      <c r="P11" s="209">
        <v>6</v>
      </c>
      <c r="Q11" s="220" t="s">
        <v>957</v>
      </c>
      <c r="R11" s="220">
        <v>1</v>
      </c>
      <c r="S11" s="220">
        <v>2</v>
      </c>
      <c r="T11" s="220">
        <v>3</v>
      </c>
      <c r="U11" s="220">
        <f t="shared" si="0"/>
        <v>5</v>
      </c>
    </row>
    <row r="12" spans="1:21" ht="20.25" thickTop="1" thickBot="1">
      <c r="A12" s="54"/>
      <c r="B12" s="214">
        <v>7</v>
      </c>
      <c r="C12" s="215" t="s">
        <v>166</v>
      </c>
      <c r="D12" s="216">
        <v>7</v>
      </c>
      <c r="E12" s="217" t="s">
        <v>57</v>
      </c>
      <c r="F12" s="218" t="s">
        <v>167</v>
      </c>
      <c r="G12" s="219" t="s">
        <v>56</v>
      </c>
      <c r="H12" s="53" t="str">
        <f>VLOOKUP(E12,MD!$C$6:$K$102,3,FALSE)</f>
        <v xml:space="preserve">ALPS - T&amp;W </v>
      </c>
      <c r="I12" s="53" t="s">
        <v>167</v>
      </c>
      <c r="J12" s="53" t="str">
        <f>VLOOKUP(G12,MD!$C$6:$K$102,3,FALSE)</f>
        <v xml:space="preserve">ALPS YK </v>
      </c>
      <c r="K12" s="46">
        <v>0</v>
      </c>
      <c r="L12" s="46">
        <f>18+13</f>
        <v>31</v>
      </c>
      <c r="M12" s="46">
        <f>21+21</f>
        <v>42</v>
      </c>
      <c r="N12" s="46">
        <v>2</v>
      </c>
      <c r="O12" s="65" t="s">
        <v>954</v>
      </c>
      <c r="P12" s="209">
        <v>7</v>
      </c>
      <c r="Q12" s="220" t="s">
        <v>958</v>
      </c>
      <c r="R12" s="220">
        <v>0</v>
      </c>
      <c r="S12" s="220">
        <v>4</v>
      </c>
      <c r="T12" s="220">
        <v>2</v>
      </c>
      <c r="U12" s="220">
        <f t="shared" si="0"/>
        <v>4</v>
      </c>
    </row>
    <row r="13" spans="1:21" ht="20.25" thickTop="1" thickBot="1">
      <c r="A13" s="54"/>
      <c r="B13" s="221">
        <v>8</v>
      </c>
      <c r="C13" s="215" t="s">
        <v>166</v>
      </c>
      <c r="D13" s="216">
        <v>8</v>
      </c>
      <c r="E13" s="222" t="s">
        <v>53</v>
      </c>
      <c r="F13" s="223" t="s">
        <v>167</v>
      </c>
      <c r="G13" s="224" t="s">
        <v>60</v>
      </c>
      <c r="H13" s="53" t="str">
        <f>VLOOKUP(E13,MD!$C$6:$K$102,3,FALSE)</f>
        <v>SCAA LM</v>
      </c>
      <c r="I13" s="53" t="s">
        <v>167</v>
      </c>
      <c r="J13" s="53" t="str">
        <f>VLOOKUP(G13,MD!$C$6:$K$102,3,FALSE)</f>
        <v xml:space="preserve">Alps CAUTION </v>
      </c>
      <c r="K13" s="46">
        <v>2</v>
      </c>
      <c r="L13" s="46">
        <f>21+21</f>
        <v>42</v>
      </c>
      <c r="M13" s="46">
        <f>13+13</f>
        <v>26</v>
      </c>
      <c r="N13" s="46">
        <v>0</v>
      </c>
      <c r="O13" s="65" t="s">
        <v>955</v>
      </c>
      <c r="P13" s="209">
        <v>8</v>
      </c>
      <c r="Q13" s="220" t="s">
        <v>964</v>
      </c>
      <c r="R13" s="220">
        <v>0</v>
      </c>
      <c r="S13" s="220">
        <v>3</v>
      </c>
      <c r="T13" s="220">
        <v>3</v>
      </c>
      <c r="U13" s="220">
        <f t="shared" si="0"/>
        <v>3</v>
      </c>
    </row>
    <row r="14" spans="1:21" ht="20.25" thickTop="1" thickBot="1">
      <c r="A14" s="54"/>
      <c r="B14" s="214">
        <v>9</v>
      </c>
      <c r="C14" s="215" t="s">
        <v>166</v>
      </c>
      <c r="D14" s="216">
        <v>9</v>
      </c>
      <c r="E14" s="217" t="s">
        <v>58</v>
      </c>
      <c r="F14" s="218" t="s">
        <v>167</v>
      </c>
      <c r="G14" s="219" t="s">
        <v>56</v>
      </c>
      <c r="H14" s="53" t="str">
        <f>VLOOKUP(E14,MD!$C$6:$K$102,3,FALSE)</f>
        <v>Alps-Dr. Chan</v>
      </c>
      <c r="I14" s="53" t="s">
        <v>167</v>
      </c>
      <c r="J14" s="53" t="str">
        <f>VLOOKUP(G14,MD!$C$6:$K$102,3,FALSE)</f>
        <v xml:space="preserve">ALPS YK </v>
      </c>
      <c r="K14" s="46">
        <v>0</v>
      </c>
      <c r="L14" s="46">
        <f>17+15</f>
        <v>32</v>
      </c>
      <c r="M14" s="46">
        <f>21+21</f>
        <v>42</v>
      </c>
      <c r="N14" s="46">
        <v>2</v>
      </c>
      <c r="O14" s="65" t="s">
        <v>995</v>
      </c>
      <c r="P14" s="92"/>
      <c r="Q14" s="92"/>
      <c r="R14" s="92"/>
      <c r="S14" s="92"/>
      <c r="T14" s="92"/>
    </row>
    <row r="15" spans="1:21" ht="20.25" thickTop="1" thickBot="1">
      <c r="A15" s="54"/>
      <c r="B15" s="221">
        <v>10</v>
      </c>
      <c r="C15" s="215" t="s">
        <v>166</v>
      </c>
      <c r="D15" s="216">
        <v>10</v>
      </c>
      <c r="E15" s="217" t="s">
        <v>53</v>
      </c>
      <c r="F15" s="218" t="s">
        <v>167</v>
      </c>
      <c r="G15" s="219" t="s">
        <v>54</v>
      </c>
      <c r="H15" s="53" t="str">
        <f>VLOOKUP(E15,MD!$C$6:$K$102,3,FALSE)</f>
        <v>SCAA LM</v>
      </c>
      <c r="I15" s="53" t="s">
        <v>167</v>
      </c>
      <c r="J15" s="53" t="str">
        <f>VLOOKUP(G15,MD!$C$6:$K$102,3,FALSE)</f>
        <v>2R</v>
      </c>
      <c r="K15" s="46">
        <v>2</v>
      </c>
      <c r="L15" s="46">
        <f>21+21</f>
        <v>42</v>
      </c>
      <c r="M15" s="46">
        <f>11+13</f>
        <v>24</v>
      </c>
      <c r="N15" s="46">
        <v>0</v>
      </c>
      <c r="O15" s="65" t="s">
        <v>996</v>
      </c>
      <c r="P15" s="92"/>
      <c r="Q15" s="92"/>
      <c r="R15" s="550" t="s">
        <v>946</v>
      </c>
      <c r="S15" s="550" t="s">
        <v>956</v>
      </c>
      <c r="T15" s="550" t="s">
        <v>948</v>
      </c>
    </row>
    <row r="16" spans="1:21" ht="20.25" thickTop="1" thickBot="1">
      <c r="A16" s="54"/>
      <c r="B16" s="214">
        <v>11</v>
      </c>
      <c r="C16" s="215" t="s">
        <v>166</v>
      </c>
      <c r="D16" s="216">
        <v>11</v>
      </c>
      <c r="E16" s="217" t="s">
        <v>59</v>
      </c>
      <c r="F16" s="218" t="s">
        <v>167</v>
      </c>
      <c r="G16" s="219" t="s">
        <v>55</v>
      </c>
      <c r="H16" s="53" t="str">
        <f>VLOOKUP(E16,MD!$C$6:$K$102,3,FALSE)</f>
        <v>SA</v>
      </c>
      <c r="I16" s="53" t="s">
        <v>167</v>
      </c>
      <c r="J16" s="53" t="str">
        <f>VLOOKUP(G16,MD!$C$6:$K$102,3,FALSE)</f>
        <v xml:space="preserve">ALPS - WL </v>
      </c>
      <c r="K16" s="46">
        <v>0</v>
      </c>
      <c r="L16" s="46">
        <f>19+19</f>
        <v>38</v>
      </c>
      <c r="M16" s="46">
        <f>21+21</f>
        <v>42</v>
      </c>
      <c r="N16" s="46">
        <v>2</v>
      </c>
      <c r="O16" s="65" t="s">
        <v>997</v>
      </c>
      <c r="P16" s="92"/>
      <c r="Q16" s="92" t="s">
        <v>432</v>
      </c>
      <c r="R16" s="91">
        <f>L8+L13+L15+M21+L24+L29</f>
        <v>237</v>
      </c>
      <c r="S16" s="91">
        <f>M8+M13+M15+L21+M24+M29</f>
        <v>188</v>
      </c>
      <c r="T16" s="551">
        <f>R16/S16</f>
        <v>1.2606382978723405</v>
      </c>
    </row>
    <row r="17" spans="1:20" ht="20.25" thickTop="1" thickBot="1">
      <c r="A17" s="54"/>
      <c r="B17" s="221">
        <v>12</v>
      </c>
      <c r="C17" s="215" t="s">
        <v>166</v>
      </c>
      <c r="D17" s="216">
        <v>12</v>
      </c>
      <c r="E17" s="222" t="s">
        <v>60</v>
      </c>
      <c r="F17" s="223" t="s">
        <v>167</v>
      </c>
      <c r="G17" s="224" t="s">
        <v>57</v>
      </c>
      <c r="H17" s="225" t="str">
        <f>VLOOKUP(E17,MD!$C$6:$K$102,3,FALSE)</f>
        <v xml:space="preserve">Alps CAUTION </v>
      </c>
      <c r="I17" s="225" t="s">
        <v>167</v>
      </c>
      <c r="J17" s="225" t="str">
        <f>VLOOKUP(G17,MD!$C$6:$K$102,3,FALSE)</f>
        <v xml:space="preserve">ALPS - T&amp;W </v>
      </c>
      <c r="K17" s="46">
        <v>1</v>
      </c>
      <c r="L17" s="46">
        <f>21+10</f>
        <v>31</v>
      </c>
      <c r="M17" s="46">
        <f>19+21</f>
        <v>40</v>
      </c>
      <c r="N17" s="46">
        <v>1</v>
      </c>
      <c r="O17" s="65" t="s">
        <v>998</v>
      </c>
      <c r="Q17" s="65" t="s">
        <v>455</v>
      </c>
      <c r="R17" s="197">
        <f>L10+M9+M15+M20+M25+L28</f>
        <v>235</v>
      </c>
      <c r="S17" s="197">
        <f>L9+M10+L15+L20+L25+M28</f>
        <v>226</v>
      </c>
      <c r="T17" s="551">
        <f t="shared" ref="T17:T23" si="1">R17/S17</f>
        <v>1.0398230088495575</v>
      </c>
    </row>
    <row r="18" spans="1:20" ht="20.25" thickTop="1" thickBot="1">
      <c r="A18" s="54"/>
      <c r="B18" s="214">
        <v>13</v>
      </c>
      <c r="C18" s="215" t="s">
        <v>166</v>
      </c>
      <c r="D18" s="216">
        <v>13</v>
      </c>
      <c r="E18" s="217" t="s">
        <v>58</v>
      </c>
      <c r="F18" s="218" t="s">
        <v>167</v>
      </c>
      <c r="G18" s="219" t="s">
        <v>59</v>
      </c>
      <c r="H18" s="48" t="str">
        <f>VLOOKUP(E18,MD!$C$6:$K$54,3,FALSE)</f>
        <v>Alps-Dr. Chan</v>
      </c>
      <c r="I18" s="48" t="s">
        <v>167</v>
      </c>
      <c r="J18" s="48" t="str">
        <f>VLOOKUP(G18,MD!$C$6:$K$54,3,FALSE)</f>
        <v>SA</v>
      </c>
      <c r="K18" s="46">
        <v>1</v>
      </c>
      <c r="L18" s="46">
        <f>21+19</f>
        <v>40</v>
      </c>
      <c r="M18" s="46">
        <f>13+21</f>
        <v>34</v>
      </c>
      <c r="N18" s="46">
        <v>1</v>
      </c>
      <c r="O18" s="65" t="s">
        <v>999</v>
      </c>
      <c r="Q18" s="65" t="s">
        <v>445</v>
      </c>
      <c r="R18" s="197">
        <f>L6+M11+M16+M19+M24+M28</f>
        <v>244</v>
      </c>
      <c r="S18" s="197">
        <f>M6+L11+L16+L19+L24+L28</f>
        <v>227</v>
      </c>
      <c r="T18" s="551">
        <f t="shared" si="1"/>
        <v>1.0748898678414096</v>
      </c>
    </row>
    <row r="19" spans="1:20" ht="20.25" thickTop="1" thickBot="1">
      <c r="A19" s="54" t="e">
        <f>IF(#REF!&lt;&gt;#REF!,#REF!,"")</f>
        <v>#REF!</v>
      </c>
      <c r="B19" s="221">
        <v>14</v>
      </c>
      <c r="C19" s="215" t="s">
        <v>166</v>
      </c>
      <c r="D19" s="216">
        <v>14</v>
      </c>
      <c r="E19" s="217" t="s">
        <v>56</v>
      </c>
      <c r="F19" s="218" t="s">
        <v>167</v>
      </c>
      <c r="G19" s="219" t="s">
        <v>55</v>
      </c>
      <c r="H19" s="53" t="str">
        <f>VLOOKUP(E19,MD!$C$6:$K$54,3,FALSE)</f>
        <v xml:space="preserve">ALPS YK </v>
      </c>
      <c r="I19" s="53" t="s">
        <v>167</v>
      </c>
      <c r="J19" s="53" t="str">
        <f>VLOOKUP(G19,MD!$C$6:$K$54,3,FALSE)</f>
        <v xml:space="preserve">ALPS - WL </v>
      </c>
      <c r="K19" s="46">
        <v>1</v>
      </c>
      <c r="L19" s="46">
        <f>25+19</f>
        <v>44</v>
      </c>
      <c r="M19" s="46">
        <f>23+21</f>
        <v>44</v>
      </c>
      <c r="N19" s="46">
        <v>1</v>
      </c>
      <c r="O19" s="65" t="s">
        <v>1000</v>
      </c>
      <c r="Q19" s="65" t="s">
        <v>452</v>
      </c>
      <c r="R19" s="197">
        <f>L7+M12+M14+L19+L25+M29</f>
        <v>238</v>
      </c>
      <c r="S19" s="197">
        <f>M7+L12+L14+M19+M25+L29</f>
        <v>238</v>
      </c>
      <c r="T19" s="551">
        <f t="shared" si="1"/>
        <v>1</v>
      </c>
    </row>
    <row r="20" spans="1:20" ht="20.25" thickTop="1" thickBot="1">
      <c r="A20" s="54" t="e">
        <f>IF(#REF!&lt;&gt;#REF!,#REF!,"")</f>
        <v>#REF!</v>
      </c>
      <c r="B20" s="214">
        <v>15</v>
      </c>
      <c r="C20" s="215" t="s">
        <v>166</v>
      </c>
      <c r="D20" s="216">
        <v>15</v>
      </c>
      <c r="E20" s="217" t="s">
        <v>60</v>
      </c>
      <c r="F20" s="218" t="s">
        <v>167</v>
      </c>
      <c r="G20" s="219" t="s">
        <v>54</v>
      </c>
      <c r="H20" s="53" t="str">
        <f>VLOOKUP(E20,MD!$C$6:$K$54,3,FALSE)</f>
        <v xml:space="preserve">Alps CAUTION </v>
      </c>
      <c r="I20" s="53" t="s">
        <v>167</v>
      </c>
      <c r="J20" s="53" t="str">
        <f>VLOOKUP(G20,MD!$C$6:$K$54,3,FALSE)</f>
        <v>2R</v>
      </c>
      <c r="K20" s="46">
        <v>1</v>
      </c>
      <c r="L20" s="46">
        <f>21+23</f>
        <v>44</v>
      </c>
      <c r="M20" s="46">
        <f>19+25</f>
        <v>44</v>
      </c>
      <c r="N20" s="46">
        <v>1</v>
      </c>
      <c r="O20" s="65" t="s">
        <v>1001</v>
      </c>
      <c r="Q20" s="65" t="s">
        <v>433</v>
      </c>
      <c r="R20" s="197">
        <f>L9+L12+M17+L21+M22+L26</f>
        <v>216</v>
      </c>
      <c r="S20" s="197">
        <f>M9+M12+L17+M21+L22+M26</f>
        <v>216</v>
      </c>
      <c r="T20" s="551">
        <f t="shared" si="1"/>
        <v>1</v>
      </c>
    </row>
    <row r="21" spans="1:20" ht="20.25" thickTop="1" thickBot="1">
      <c r="A21" s="54" t="e">
        <f>IF(#REF!&lt;&gt;#REF!,#REF!,"")</f>
        <v>#REF!</v>
      </c>
      <c r="B21" s="221">
        <v>16</v>
      </c>
      <c r="C21" s="215" t="s">
        <v>166</v>
      </c>
      <c r="D21" s="216">
        <v>16</v>
      </c>
      <c r="E21" s="222" t="s">
        <v>57</v>
      </c>
      <c r="F21" s="223" t="s">
        <v>167</v>
      </c>
      <c r="G21" s="224" t="s">
        <v>53</v>
      </c>
      <c r="H21" s="53" t="str">
        <f>VLOOKUP(E21,MD!$C$6:$K$54,3,FALSE)</f>
        <v xml:space="preserve">ALPS - T&amp;W </v>
      </c>
      <c r="I21" s="53" t="s">
        <v>167</v>
      </c>
      <c r="J21" s="53" t="str">
        <f>VLOOKUP(G21,MD!$C$6:$K$54,3,FALSE)</f>
        <v>SCAA LM</v>
      </c>
      <c r="K21" s="46">
        <v>0</v>
      </c>
      <c r="L21" s="46">
        <f>15+14</f>
        <v>29</v>
      </c>
      <c r="M21" s="46">
        <f>21+21</f>
        <v>42</v>
      </c>
      <c r="N21" s="46">
        <v>2</v>
      </c>
      <c r="O21" s="65" t="s">
        <v>780</v>
      </c>
      <c r="Q21" s="65" t="s">
        <v>438</v>
      </c>
      <c r="R21" s="197">
        <f>M8+L11+L14+L18+M23+M26</f>
        <v>207</v>
      </c>
      <c r="S21" s="197">
        <f>L8+M11+M14+M18+L23+L26</f>
        <v>231</v>
      </c>
      <c r="T21" s="551">
        <f t="shared" si="1"/>
        <v>0.89610389610389607</v>
      </c>
    </row>
    <row r="22" spans="1:20" ht="20.25" thickTop="1" thickBot="1">
      <c r="A22" s="54" t="e">
        <f>IF(#REF!&lt;&gt;#REF!,#REF!,"")</f>
        <v>#REF!</v>
      </c>
      <c r="B22" s="214">
        <v>17</v>
      </c>
      <c r="C22" s="215" t="s">
        <v>166</v>
      </c>
      <c r="D22" s="216">
        <v>17</v>
      </c>
      <c r="E22" s="217" t="s">
        <v>59</v>
      </c>
      <c r="F22" s="218" t="s">
        <v>167</v>
      </c>
      <c r="G22" s="219" t="s">
        <v>57</v>
      </c>
      <c r="H22" s="53" t="str">
        <f>VLOOKUP(E22,MD!$C$6:$K$54,3,FALSE)</f>
        <v>SA</v>
      </c>
      <c r="I22" s="53" t="s">
        <v>167</v>
      </c>
      <c r="J22" s="53" t="str">
        <f>VLOOKUP(G22,MD!$C$6:$K$54,3,FALSE)</f>
        <v xml:space="preserve">ALPS - T&amp;W </v>
      </c>
      <c r="K22" s="46">
        <v>0</v>
      </c>
      <c r="L22" s="46">
        <f>20+17</f>
        <v>37</v>
      </c>
      <c r="M22" s="46">
        <f>22+21</f>
        <v>43</v>
      </c>
      <c r="N22" s="46">
        <v>2</v>
      </c>
      <c r="O22" s="65" t="s">
        <v>1010</v>
      </c>
      <c r="Q22" s="65" t="s">
        <v>426</v>
      </c>
      <c r="R22" s="197">
        <f>M7+M10+M18+L16+L22+M27</f>
        <v>214</v>
      </c>
      <c r="S22" s="197">
        <f>L7+L10+M16+L18+M22+L27</f>
        <v>236</v>
      </c>
      <c r="T22" s="551">
        <f t="shared" si="1"/>
        <v>0.90677966101694918</v>
      </c>
    </row>
    <row r="23" spans="1:20" ht="20.25" thickTop="1" thickBot="1">
      <c r="A23" s="54" t="e">
        <f>IF(#REF!&lt;&gt;#REF!,#REF!,"")</f>
        <v>#REF!</v>
      </c>
      <c r="B23" s="221">
        <v>18</v>
      </c>
      <c r="C23" s="215" t="s">
        <v>166</v>
      </c>
      <c r="D23" s="216">
        <v>18</v>
      </c>
      <c r="E23" s="217" t="s">
        <v>60</v>
      </c>
      <c r="F23" s="218" t="s">
        <v>167</v>
      </c>
      <c r="G23" s="219" t="s">
        <v>58</v>
      </c>
      <c r="H23" s="53" t="str">
        <f>VLOOKUP(E23,MD!$C$6:$K$54,3,FALSE)</f>
        <v xml:space="preserve">Alps CAUTION </v>
      </c>
      <c r="I23" s="53" t="s">
        <v>167</v>
      </c>
      <c r="J23" s="53" t="str">
        <f>VLOOKUP(G23,MD!$C$6:$K$54,3,FALSE)</f>
        <v>Alps-Dr. Chan</v>
      </c>
      <c r="K23" s="46">
        <v>1</v>
      </c>
      <c r="L23" s="46">
        <f>21+24</f>
        <v>45</v>
      </c>
      <c r="M23" s="46">
        <f>23+22</f>
        <v>45</v>
      </c>
      <c r="N23" s="46">
        <v>1</v>
      </c>
      <c r="O23" s="65" t="s">
        <v>1011</v>
      </c>
      <c r="Q23" s="65" t="s">
        <v>449</v>
      </c>
      <c r="R23" s="197">
        <f>M6+M13+L17+L20+L23+L27</f>
        <v>217</v>
      </c>
      <c r="S23" s="197">
        <f>L6+L13+M17+M20+M23+M27</f>
        <v>246</v>
      </c>
      <c r="T23" s="551">
        <f t="shared" si="1"/>
        <v>0.88211382113821135</v>
      </c>
    </row>
    <row r="24" spans="1:20" ht="20.25" thickTop="1" thickBot="1">
      <c r="A24" s="54" t="e">
        <f>IF(#REF!&lt;&gt;#REF!,#REF!,"")</f>
        <v>#REF!</v>
      </c>
      <c r="B24" s="214">
        <v>19</v>
      </c>
      <c r="C24" s="215" t="s">
        <v>166</v>
      </c>
      <c r="D24" s="216">
        <v>19</v>
      </c>
      <c r="E24" s="217" t="s">
        <v>53</v>
      </c>
      <c r="F24" s="218" t="s">
        <v>167</v>
      </c>
      <c r="G24" s="219" t="s">
        <v>55</v>
      </c>
      <c r="H24" s="53" t="str">
        <f>VLOOKUP(E24,MD!$C$6:$K$54,3,FALSE)</f>
        <v>SCAA LM</v>
      </c>
      <c r="I24" s="53" t="s">
        <v>167</v>
      </c>
      <c r="J24" s="53" t="str">
        <f>VLOOKUP(G24,MD!$C$6:$K$54,3,FALSE)</f>
        <v xml:space="preserve">ALPS - WL </v>
      </c>
      <c r="K24" s="46">
        <v>2</v>
      </c>
      <c r="L24" s="46">
        <f>21+21</f>
        <v>42</v>
      </c>
      <c r="M24" s="46">
        <f>19+17</f>
        <v>36</v>
      </c>
      <c r="N24" s="46">
        <v>0</v>
      </c>
      <c r="O24" s="65" t="s">
        <v>1012</v>
      </c>
    </row>
    <row r="25" spans="1:20" ht="20.25" thickTop="1" thickBot="1">
      <c r="A25" s="54" t="e">
        <f>IF(#REF!&lt;&gt;#REF!,#REF!,"")</f>
        <v>#REF!</v>
      </c>
      <c r="B25" s="221">
        <v>20</v>
      </c>
      <c r="C25" s="215" t="s">
        <v>166</v>
      </c>
      <c r="D25" s="216">
        <v>20</v>
      </c>
      <c r="E25" s="222" t="s">
        <v>56</v>
      </c>
      <c r="F25" s="223" t="s">
        <v>167</v>
      </c>
      <c r="G25" s="224" t="s">
        <v>54</v>
      </c>
      <c r="H25" s="53" t="str">
        <f>VLOOKUP(E25,MD!$C$6:$K$54,3,FALSE)</f>
        <v xml:space="preserve">ALPS YK </v>
      </c>
      <c r="I25" s="53" t="s">
        <v>167</v>
      </c>
      <c r="J25" s="53" t="str">
        <f>VLOOKUP(G25,MD!$C$6:$K$54,3,FALSE)</f>
        <v>2R</v>
      </c>
      <c r="K25" s="46">
        <v>0</v>
      </c>
      <c r="L25" s="46">
        <f>18+23</f>
        <v>41</v>
      </c>
      <c r="M25" s="46">
        <f>21+25</f>
        <v>46</v>
      </c>
      <c r="N25" s="46">
        <v>2</v>
      </c>
      <c r="O25" s="65" t="s">
        <v>1013</v>
      </c>
    </row>
    <row r="26" spans="1:20" ht="20.25" thickTop="1" thickBot="1">
      <c r="A26" s="54" t="e">
        <f>IF(#REF!&lt;&gt;#REF!,#REF!,"")</f>
        <v>#REF!</v>
      </c>
      <c r="B26" s="214">
        <v>21</v>
      </c>
      <c r="C26" s="215" t="s">
        <v>166</v>
      </c>
      <c r="D26" s="216">
        <v>21</v>
      </c>
      <c r="E26" s="217" t="s">
        <v>57</v>
      </c>
      <c r="F26" s="218" t="s">
        <v>167</v>
      </c>
      <c r="G26" s="219" t="s">
        <v>58</v>
      </c>
      <c r="H26" s="53" t="str">
        <f>VLOOKUP(E26,MD!$C$6:$K$54,3,FALSE)</f>
        <v xml:space="preserve">ALPS - T&amp;W </v>
      </c>
      <c r="I26" s="53" t="s">
        <v>167</v>
      </c>
      <c r="J26" s="53" t="str">
        <f>VLOOKUP(G26,MD!$C$6:$K$54,3,FALSE)</f>
        <v>Alps-Dr. Chan</v>
      </c>
      <c r="K26" s="46">
        <v>2</v>
      </c>
      <c r="L26" s="46">
        <f>21+21</f>
        <v>42</v>
      </c>
      <c r="M26" s="46">
        <f>11+11</f>
        <v>22</v>
      </c>
      <c r="N26" s="46">
        <v>0</v>
      </c>
      <c r="O26" s="65" t="s">
        <v>1014</v>
      </c>
    </row>
    <row r="27" spans="1:20" ht="20.25" thickTop="1" thickBot="1">
      <c r="A27" s="54" t="e">
        <f>IF(#REF!&lt;&gt;#REF!,#REF!,"")</f>
        <v>#REF!</v>
      </c>
      <c r="B27" s="221">
        <v>22</v>
      </c>
      <c r="C27" s="215" t="s">
        <v>166</v>
      </c>
      <c r="D27" s="216">
        <v>22</v>
      </c>
      <c r="E27" s="217" t="s">
        <v>60</v>
      </c>
      <c r="F27" s="218" t="s">
        <v>167</v>
      </c>
      <c r="G27" s="219" t="s">
        <v>59</v>
      </c>
      <c r="H27" s="53" t="str">
        <f>VLOOKUP(E27,MD!$C$6:$K$54,3,FALSE)</f>
        <v xml:space="preserve">Alps CAUTION </v>
      </c>
      <c r="I27" s="53" t="s">
        <v>167</v>
      </c>
      <c r="J27" s="53" t="str">
        <f>VLOOKUP(G27,MD!$C$6:$K$54,3,FALSE)</f>
        <v>SA</v>
      </c>
      <c r="K27" s="46">
        <v>1</v>
      </c>
      <c r="L27" s="46">
        <f>21+14</f>
        <v>35</v>
      </c>
      <c r="M27" s="46">
        <f>12+21</f>
        <v>33</v>
      </c>
      <c r="N27" s="46">
        <v>1</v>
      </c>
      <c r="O27" s="65" t="s">
        <v>1015</v>
      </c>
    </row>
    <row r="28" spans="1:20" ht="18.75">
      <c r="A28" s="54" t="e">
        <f>IF(#REF!&lt;&gt;#REF!,#REF!,"")</f>
        <v>#REF!</v>
      </c>
      <c r="B28" s="214">
        <v>23</v>
      </c>
      <c r="C28" s="215" t="s">
        <v>166</v>
      </c>
      <c r="D28" s="216">
        <v>23</v>
      </c>
      <c r="E28" s="217" t="s">
        <v>54</v>
      </c>
      <c r="F28" s="218" t="s">
        <v>167</v>
      </c>
      <c r="G28" s="219" t="s">
        <v>55</v>
      </c>
      <c r="H28" s="53" t="str">
        <f>VLOOKUP(E28,MD!$C$6:$K$54,3,FALSE)</f>
        <v>2R</v>
      </c>
      <c r="I28" s="53" t="s">
        <v>167</v>
      </c>
      <c r="J28" s="53" t="str">
        <f>VLOOKUP(G28,MD!$C$6:$K$54,3,FALSE)</f>
        <v xml:space="preserve">ALPS - WL </v>
      </c>
      <c r="K28" s="46">
        <v>1</v>
      </c>
      <c r="L28" s="46">
        <f>21+16</f>
        <v>37</v>
      </c>
      <c r="M28" s="46">
        <f>17+21</f>
        <v>38</v>
      </c>
      <c r="N28" s="46">
        <v>1</v>
      </c>
      <c r="O28" s="65" t="s">
        <v>1016</v>
      </c>
    </row>
    <row r="29" spans="1:20" ht="18.75">
      <c r="A29" s="54" t="e">
        <f>IF(#REF!&lt;&gt;#REF!,#REF!,"")</f>
        <v>#REF!</v>
      </c>
      <c r="B29" s="221">
        <v>24</v>
      </c>
      <c r="C29" s="215" t="s">
        <v>166</v>
      </c>
      <c r="D29" s="216">
        <v>24</v>
      </c>
      <c r="E29" s="222" t="s">
        <v>53</v>
      </c>
      <c r="F29" s="223" t="s">
        <v>167</v>
      </c>
      <c r="G29" s="224" t="s">
        <v>56</v>
      </c>
      <c r="H29" s="53" t="str">
        <f>VLOOKUP(E29,MD!$C$6:$K$54,3,FALSE)</f>
        <v>SCAA LM</v>
      </c>
      <c r="I29" s="53" t="s">
        <v>167</v>
      </c>
      <c r="J29" s="53" t="str">
        <f>VLOOKUP(G29,MD!$C$6:$K$54,3,FALSE)</f>
        <v xml:space="preserve">ALPS YK </v>
      </c>
      <c r="K29" s="46">
        <v>2</v>
      </c>
      <c r="L29" s="46">
        <f>21+22</f>
        <v>43</v>
      </c>
      <c r="M29" s="46">
        <f>15+20</f>
        <v>35</v>
      </c>
      <c r="N29" s="46">
        <v>0</v>
      </c>
      <c r="O29" s="65" t="s">
        <v>1017</v>
      </c>
    </row>
    <row r="30" spans="1:20" ht="18.75">
      <c r="A30" s="54" t="e">
        <f>IF(#REF!&lt;&gt;#REF!,#REF!,"")</f>
        <v>#REF!</v>
      </c>
      <c r="B30" s="214">
        <v>25</v>
      </c>
      <c r="C30" s="215" t="s">
        <v>166</v>
      </c>
      <c r="D30" s="216">
        <v>25</v>
      </c>
      <c r="E30" s="217" t="s">
        <v>56</v>
      </c>
      <c r="F30" s="218" t="s">
        <v>167</v>
      </c>
      <c r="G30" s="219" t="s">
        <v>60</v>
      </c>
      <c r="H30" s="53" t="str">
        <f>VLOOKUP(E30,MD!$C$6:$K$54,3,FALSE)</f>
        <v xml:space="preserve">ALPS YK </v>
      </c>
      <c r="I30" s="53" t="s">
        <v>167</v>
      </c>
      <c r="J30" s="53" t="str">
        <f>VLOOKUP(G30,MD!$C$6:$K$54,3,FALSE)</f>
        <v xml:space="preserve">Alps CAUTION </v>
      </c>
      <c r="K30" s="46"/>
      <c r="L30" s="46"/>
      <c r="M30" s="46"/>
      <c r="N30" s="46"/>
    </row>
    <row r="31" spans="1:20" ht="18.75">
      <c r="A31" s="54" t="e">
        <f>IF(#REF!&lt;&gt;#REF!,#REF!,"")</f>
        <v>#REF!</v>
      </c>
      <c r="B31" s="221">
        <v>26</v>
      </c>
      <c r="C31" s="215" t="s">
        <v>166</v>
      </c>
      <c r="D31" s="216">
        <v>26</v>
      </c>
      <c r="E31" s="217" t="s">
        <v>58</v>
      </c>
      <c r="F31" s="218" t="s">
        <v>167</v>
      </c>
      <c r="G31" s="219" t="s">
        <v>54</v>
      </c>
      <c r="H31" s="53" t="str">
        <f>VLOOKUP(E31,MD!$C$6:$K$54,3,FALSE)</f>
        <v>Alps-Dr. Chan</v>
      </c>
      <c r="I31" s="53" t="s">
        <v>167</v>
      </c>
      <c r="J31" s="53" t="str">
        <f>VLOOKUP(G31,MD!$C$6:$K$54,3,FALSE)</f>
        <v>2R</v>
      </c>
      <c r="K31" s="46"/>
      <c r="L31" s="46"/>
      <c r="M31" s="46"/>
      <c r="N31" s="46"/>
    </row>
    <row r="32" spans="1:20" ht="18.75">
      <c r="A32" s="54" t="e">
        <f>IF(#REF!&lt;&gt;#REF!,#REF!,"")</f>
        <v>#REF!</v>
      </c>
      <c r="B32" s="214">
        <v>27</v>
      </c>
      <c r="C32" s="215" t="s">
        <v>166</v>
      </c>
      <c r="D32" s="216">
        <v>27</v>
      </c>
      <c r="E32" s="217" t="s">
        <v>59</v>
      </c>
      <c r="F32" s="218" t="s">
        <v>167</v>
      </c>
      <c r="G32" s="219" t="s">
        <v>53</v>
      </c>
      <c r="H32" s="53" t="str">
        <f>VLOOKUP(E32,MD!$C$6:$K$54,3,FALSE)</f>
        <v>SA</v>
      </c>
      <c r="I32" s="53" t="s">
        <v>167</v>
      </c>
      <c r="J32" s="53" t="str">
        <f>VLOOKUP(G32,MD!$C$6:$K$54,3,FALSE)</f>
        <v>SCAA LM</v>
      </c>
      <c r="K32" s="46"/>
      <c r="L32" s="46"/>
      <c r="M32" s="46"/>
      <c r="N32" s="46"/>
    </row>
    <row r="33" spans="1:14" ht="19.5" thickTop="1">
      <c r="A33" s="54" t="e">
        <f>IF(#REF!&lt;&gt;#REF!,#REF!,"")</f>
        <v>#REF!</v>
      </c>
      <c r="B33" s="221">
        <v>28</v>
      </c>
      <c r="C33" s="226" t="s">
        <v>166</v>
      </c>
      <c r="D33" s="227">
        <v>28</v>
      </c>
      <c r="E33" s="222" t="s">
        <v>57</v>
      </c>
      <c r="F33" s="223" t="s">
        <v>167</v>
      </c>
      <c r="G33" s="224" t="s">
        <v>55</v>
      </c>
      <c r="H33" s="228" t="str">
        <f>VLOOKUP(E33,MD!$C$6:$K$54,3,FALSE)</f>
        <v xml:space="preserve">ALPS - T&amp;W </v>
      </c>
      <c r="I33" s="228" t="s">
        <v>167</v>
      </c>
      <c r="J33" s="228" t="str">
        <f>VLOOKUP(G33,MD!$C$6:$K$54,3,FALSE)</f>
        <v xml:space="preserve">ALPS - WL </v>
      </c>
      <c r="K33" s="46"/>
      <c r="L33" s="46"/>
      <c r="M33" s="46"/>
      <c r="N33" s="46"/>
    </row>
    <row r="34" spans="1:14" hidden="1">
      <c r="A34" s="54" t="e">
        <f>IF(#REF!&lt;&gt;#REF!,#REF!,"")</f>
        <v>#REF!</v>
      </c>
      <c r="B34" s="214">
        <v>29</v>
      </c>
      <c r="C34" s="229" t="s">
        <v>168</v>
      </c>
      <c r="D34" s="230">
        <v>5</v>
      </c>
      <c r="E34" s="231" t="s">
        <v>99</v>
      </c>
      <c r="F34" s="232" t="s">
        <v>167</v>
      </c>
      <c r="G34" s="233" t="s">
        <v>108</v>
      </c>
      <c r="H34" s="48" t="str">
        <f>VLOOKUP(E34,MD!$C$6:$K$54,3,FALSE)</f>
        <v>爸爸隊</v>
      </c>
      <c r="I34" s="48" t="s">
        <v>167</v>
      </c>
      <c r="J34" s="48" t="str">
        <f>VLOOKUP(G34,MD!$C$6:$K$54,3,FALSE)</f>
        <v xml:space="preserve">Alison volleyball </v>
      </c>
      <c r="K34" s="46"/>
      <c r="L34" s="46"/>
      <c r="M34" s="46"/>
      <c r="N34" s="46"/>
    </row>
    <row r="35" spans="1:14" hidden="1">
      <c r="A35" s="54" t="e">
        <f>IF(#REF!&lt;&gt;#REF!,#REF!,"")</f>
        <v>#REF!</v>
      </c>
      <c r="B35" s="221">
        <v>30</v>
      </c>
      <c r="C35" s="229" t="s">
        <v>168</v>
      </c>
      <c r="D35" s="234">
        <v>6</v>
      </c>
      <c r="E35" s="235" t="s">
        <v>66</v>
      </c>
      <c r="F35" s="236" t="s">
        <v>167</v>
      </c>
      <c r="G35" s="237" t="s">
        <v>70</v>
      </c>
      <c r="H35" s="53" t="str">
        <f>VLOOKUP(E35,MD!$C$6:$K$54,3,FALSE)</f>
        <v>SKTL</v>
      </c>
      <c r="I35" s="53" t="s">
        <v>167</v>
      </c>
      <c r="J35" s="53" t="str">
        <f>VLOOKUP(G35,MD!$C$6:$K$54,3,FALSE)</f>
        <v>夢幻組合</v>
      </c>
      <c r="K35" s="46"/>
      <c r="L35" s="46"/>
      <c r="M35" s="46"/>
      <c r="N35" s="46"/>
    </row>
    <row r="36" spans="1:14" hidden="1">
      <c r="A36" s="54" t="e">
        <f>IF(#REF!&lt;&gt;#REF!,#REF!,"")</f>
        <v>#REF!</v>
      </c>
      <c r="B36" s="214">
        <v>31</v>
      </c>
      <c r="C36" s="238" t="s">
        <v>169</v>
      </c>
      <c r="D36" s="230">
        <v>1</v>
      </c>
      <c r="E36" s="239" t="s">
        <v>67</v>
      </c>
      <c r="F36" s="240" t="s">
        <v>167</v>
      </c>
      <c r="G36" s="241" t="s">
        <v>109</v>
      </c>
      <c r="H36" s="53" t="str">
        <f>VLOOKUP(E36,MD!$C$6:$K$54,3,FALSE)</f>
        <v>SCAA YA</v>
      </c>
      <c r="I36" s="53" t="s">
        <v>167</v>
      </c>
      <c r="J36" s="53" t="str">
        <f>VLOOKUP(G36,MD!$C$6:$K$54,3,FALSE)</f>
        <v>SCAA 99</v>
      </c>
      <c r="K36" s="46"/>
      <c r="L36" s="46"/>
      <c r="M36" s="46"/>
      <c r="N36" s="46"/>
    </row>
    <row r="37" spans="1:14" hidden="1">
      <c r="A37" s="54" t="e">
        <f>IF(#REF!&lt;&gt;#REF!,#REF!,"")</f>
        <v>#REF!</v>
      </c>
      <c r="B37" s="221">
        <v>32</v>
      </c>
      <c r="C37" s="229" t="s">
        <v>169</v>
      </c>
      <c r="D37" s="230">
        <v>2</v>
      </c>
      <c r="E37" s="231" t="s">
        <v>91</v>
      </c>
      <c r="F37" s="232" t="s">
        <v>167</v>
      </c>
      <c r="G37" s="233" t="s">
        <v>78</v>
      </c>
      <c r="H37" s="53" t="str">
        <f>VLOOKUP(E37,MD!$C$6:$K$54,3,FALSE)</f>
        <v>撈碧鵰</v>
      </c>
      <c r="I37" s="53" t="s">
        <v>167</v>
      </c>
      <c r="J37" s="53">
        <f>VLOOKUP(G37,MD!$C$6:$K$54,3,FALSE)</f>
        <v>1987.5</v>
      </c>
      <c r="K37" s="46"/>
      <c r="L37" s="46"/>
      <c r="M37" s="46"/>
      <c r="N37" s="46"/>
    </row>
    <row r="38" spans="1:14" hidden="1">
      <c r="A38" s="54" t="e">
        <f>IF(#REF!&lt;&gt;#REF!,#REF!,"")</f>
        <v>#REF!</v>
      </c>
      <c r="B38" s="214">
        <v>33</v>
      </c>
      <c r="C38" s="229" t="s">
        <v>169</v>
      </c>
      <c r="D38" s="230">
        <v>3</v>
      </c>
      <c r="E38" s="231" t="s">
        <v>67</v>
      </c>
      <c r="F38" s="232" t="s">
        <v>167</v>
      </c>
      <c r="G38" s="233" t="s">
        <v>78</v>
      </c>
      <c r="H38" s="53" t="str">
        <f>VLOOKUP(E38,MD!$C$6:$K$54,3,FALSE)</f>
        <v>SCAA YA</v>
      </c>
      <c r="I38" s="53" t="s">
        <v>167</v>
      </c>
      <c r="J38" s="53">
        <f>VLOOKUP(G38,MD!$C$6:$K$54,3,FALSE)</f>
        <v>1987.5</v>
      </c>
      <c r="K38" s="46"/>
      <c r="L38" s="46"/>
      <c r="M38" s="46"/>
      <c r="N38" s="46"/>
    </row>
    <row r="39" spans="1:14" hidden="1">
      <c r="A39" s="54" t="e">
        <f>IF(#REF!&lt;&gt;#REF!,#REF!,"")</f>
        <v>#REF!</v>
      </c>
      <c r="B39" s="221">
        <v>34</v>
      </c>
      <c r="C39" s="229" t="s">
        <v>169</v>
      </c>
      <c r="D39" s="230">
        <v>4</v>
      </c>
      <c r="E39" s="231" t="s">
        <v>91</v>
      </c>
      <c r="F39" s="232" t="s">
        <v>167</v>
      </c>
      <c r="G39" s="233" t="s">
        <v>109</v>
      </c>
      <c r="H39" s="53" t="str">
        <f>VLOOKUP(E39,MD!$C$6:$K$54,3,FALSE)</f>
        <v>撈碧鵰</v>
      </c>
      <c r="I39" s="53" t="s">
        <v>167</v>
      </c>
      <c r="J39" s="53" t="str">
        <f>VLOOKUP(G39,MD!$C$6:$K$54,3,FALSE)</f>
        <v>SCAA 99</v>
      </c>
      <c r="K39" s="46"/>
      <c r="L39" s="46"/>
      <c r="M39" s="46"/>
      <c r="N39" s="46"/>
    </row>
    <row r="40" spans="1:14" hidden="1">
      <c r="A40" s="54" t="e">
        <f>IF(#REF!&lt;&gt;#REF!,#REF!,"")</f>
        <v>#REF!</v>
      </c>
      <c r="B40" s="214">
        <v>35</v>
      </c>
      <c r="C40" s="229" t="s">
        <v>169</v>
      </c>
      <c r="D40" s="230">
        <v>5</v>
      </c>
      <c r="E40" s="231" t="s">
        <v>78</v>
      </c>
      <c r="F40" s="232" t="s">
        <v>167</v>
      </c>
      <c r="G40" s="233" t="s">
        <v>109</v>
      </c>
      <c r="H40" s="53">
        <f>VLOOKUP(E40,MD!$C$6:$K$54,3,FALSE)</f>
        <v>1987.5</v>
      </c>
      <c r="I40" s="53" t="s">
        <v>167</v>
      </c>
      <c r="J40" s="53" t="str">
        <f>VLOOKUP(G40,MD!$C$6:$K$54,3,FALSE)</f>
        <v>SCAA 99</v>
      </c>
      <c r="K40" s="46"/>
      <c r="L40" s="46"/>
      <c r="M40" s="46"/>
      <c r="N40" s="46"/>
    </row>
    <row r="41" spans="1:14" hidden="1">
      <c r="A41" s="54" t="e">
        <f>IF(#REF!&lt;&gt;#REF!,#REF!,"")</f>
        <v>#REF!</v>
      </c>
      <c r="B41" s="221">
        <v>36</v>
      </c>
      <c r="C41" s="242" t="s">
        <v>169</v>
      </c>
      <c r="D41" s="234">
        <v>6</v>
      </c>
      <c r="E41" s="235" t="s">
        <v>67</v>
      </c>
      <c r="F41" s="236" t="s">
        <v>167</v>
      </c>
      <c r="G41" s="237" t="s">
        <v>91</v>
      </c>
      <c r="H41" s="53" t="str">
        <f>VLOOKUP(E41,MD!$C$6:$K$54,3,FALSE)</f>
        <v>SCAA YA</v>
      </c>
      <c r="I41" s="53" t="s">
        <v>167</v>
      </c>
      <c r="J41" s="53" t="str">
        <f>VLOOKUP(G41,MD!$C$6:$K$54,3,FALSE)</f>
        <v>撈碧鵰</v>
      </c>
      <c r="K41" s="46"/>
      <c r="L41" s="46"/>
      <c r="M41" s="46"/>
      <c r="N41" s="46"/>
    </row>
    <row r="42" spans="1:14" hidden="1">
      <c r="A42" s="54" t="e">
        <f>IF(#REF!&lt;&gt;#REF!,#REF!,"")</f>
        <v>#REF!</v>
      </c>
      <c r="B42" s="214">
        <v>37</v>
      </c>
      <c r="C42" s="243" t="s">
        <v>170</v>
      </c>
      <c r="D42" s="230">
        <v>1</v>
      </c>
      <c r="E42" s="239" t="s">
        <v>87</v>
      </c>
      <c r="F42" s="240" t="s">
        <v>167</v>
      </c>
      <c r="G42" s="241" t="s">
        <v>111</v>
      </c>
      <c r="H42" s="53" t="str">
        <f>VLOOKUP(E42,MD!$C$6:$K$54,3,FALSE)</f>
        <v>Zlatan</v>
      </c>
      <c r="I42" s="53" t="s">
        <v>167</v>
      </c>
      <c r="J42" s="53" t="str">
        <f>VLOOKUP(G42,MD!$C$6:$K$54,3,FALSE)</f>
        <v>SCAA x CSUN</v>
      </c>
      <c r="K42" s="46"/>
      <c r="L42" s="46"/>
      <c r="M42" s="46"/>
      <c r="N42" s="46"/>
    </row>
    <row r="43" spans="1:14" hidden="1">
      <c r="A43" s="54" t="e">
        <f>IF(#REF!&lt;&gt;#REF!,#REF!,"")</f>
        <v>#REF!</v>
      </c>
      <c r="B43" s="221">
        <v>38</v>
      </c>
      <c r="C43" s="243" t="s">
        <v>170</v>
      </c>
      <c r="D43" s="230">
        <v>2</v>
      </c>
      <c r="E43" s="231" t="s">
        <v>92</v>
      </c>
      <c r="F43" s="232" t="s">
        <v>167</v>
      </c>
      <c r="G43" s="233" t="s">
        <v>79</v>
      </c>
      <c r="H43" s="53" t="str">
        <f>VLOOKUP(E43,MD!$C$6:$K$54,3,FALSE)</f>
        <v>紅藍</v>
      </c>
      <c r="I43" s="53" t="s">
        <v>167</v>
      </c>
      <c r="J43" s="53" t="str">
        <f>VLOOKUP(G43,MD!$C$6:$K$54,3,FALSE)</f>
        <v>企拍</v>
      </c>
      <c r="K43" s="46"/>
      <c r="L43" s="46"/>
      <c r="M43" s="46"/>
      <c r="N43" s="46"/>
    </row>
    <row r="44" spans="1:14" hidden="1">
      <c r="A44" s="54" t="e">
        <f>IF(#REF!&lt;&gt;#REF!,#REF!,"")</f>
        <v>#REF!</v>
      </c>
      <c r="B44" s="214">
        <v>39</v>
      </c>
      <c r="C44" s="243" t="s">
        <v>170</v>
      </c>
      <c r="D44" s="230">
        <v>3</v>
      </c>
      <c r="E44" s="231" t="s">
        <v>87</v>
      </c>
      <c r="F44" s="232" t="s">
        <v>167</v>
      </c>
      <c r="G44" s="233" t="s">
        <v>79</v>
      </c>
      <c r="H44" s="53" t="str">
        <f>VLOOKUP(E44,MD!$C$6:$K$54,3,FALSE)</f>
        <v>Zlatan</v>
      </c>
      <c r="I44" s="53" t="s">
        <v>167</v>
      </c>
      <c r="J44" s="53" t="str">
        <f>VLOOKUP(G44,MD!$C$6:$K$54,3,FALSE)</f>
        <v>企拍</v>
      </c>
      <c r="K44" s="46"/>
      <c r="L44" s="46"/>
      <c r="M44" s="46"/>
      <c r="N44" s="46"/>
    </row>
    <row r="45" spans="1:14" hidden="1">
      <c r="A45" s="54" t="e">
        <f>IF(#REF!&lt;&gt;#REF!,#REF!,"")</f>
        <v>#REF!</v>
      </c>
      <c r="B45" s="221">
        <v>40</v>
      </c>
      <c r="C45" s="243" t="s">
        <v>170</v>
      </c>
      <c r="D45" s="230">
        <v>4</v>
      </c>
      <c r="E45" s="231" t="s">
        <v>92</v>
      </c>
      <c r="F45" s="232" t="s">
        <v>167</v>
      </c>
      <c r="G45" s="233" t="s">
        <v>111</v>
      </c>
      <c r="H45" s="53" t="str">
        <f>VLOOKUP(E45,MD!$C$6:$K$54,3,FALSE)</f>
        <v>紅藍</v>
      </c>
      <c r="I45" s="53" t="s">
        <v>167</v>
      </c>
      <c r="J45" s="53" t="str">
        <f>VLOOKUP(G45,MD!$C$6:$K$54,3,FALSE)</f>
        <v>SCAA x CSUN</v>
      </c>
      <c r="K45" s="46"/>
      <c r="L45" s="46"/>
      <c r="M45" s="46"/>
      <c r="N45" s="46"/>
    </row>
    <row r="46" spans="1:14" hidden="1">
      <c r="B46" s="214">
        <v>41</v>
      </c>
      <c r="C46" s="243" t="s">
        <v>170</v>
      </c>
      <c r="D46" s="230">
        <v>5</v>
      </c>
      <c r="E46" s="231" t="s">
        <v>79</v>
      </c>
      <c r="F46" s="232" t="s">
        <v>167</v>
      </c>
      <c r="G46" s="233" t="s">
        <v>111</v>
      </c>
      <c r="H46" s="53" t="str">
        <f>VLOOKUP(E46,MD!$C$6:$K$54,3,FALSE)</f>
        <v>企拍</v>
      </c>
      <c r="I46" s="53" t="s">
        <v>167</v>
      </c>
      <c r="J46" s="53" t="str">
        <f>VLOOKUP(G46,MD!$C$6:$K$54,3,FALSE)</f>
        <v>SCAA x CSUN</v>
      </c>
      <c r="K46" s="46"/>
      <c r="L46" s="46"/>
      <c r="M46" s="46"/>
      <c r="N46" s="46"/>
    </row>
    <row r="47" spans="1:14" hidden="1">
      <c r="B47" s="221">
        <v>42</v>
      </c>
      <c r="C47" s="242" t="s">
        <v>170</v>
      </c>
      <c r="D47" s="234">
        <v>6</v>
      </c>
      <c r="E47" s="235" t="s">
        <v>87</v>
      </c>
      <c r="F47" s="236" t="s">
        <v>167</v>
      </c>
      <c r="G47" s="237" t="s">
        <v>92</v>
      </c>
      <c r="H47" s="53" t="str">
        <f>VLOOKUP(E47,MD!$C$6:$K$54,3,FALSE)</f>
        <v>Zlatan</v>
      </c>
      <c r="I47" s="53" t="s">
        <v>167</v>
      </c>
      <c r="J47" s="53" t="str">
        <f>VLOOKUP(G47,MD!$C$6:$K$54,3,FALSE)</f>
        <v>紅藍</v>
      </c>
      <c r="K47" s="46"/>
      <c r="L47" s="46"/>
      <c r="M47" s="46"/>
      <c r="N47" s="46"/>
    </row>
    <row r="48" spans="1:14" hidden="1">
      <c r="B48" s="214">
        <v>43</v>
      </c>
      <c r="C48" s="243" t="s">
        <v>171</v>
      </c>
      <c r="D48" s="230">
        <v>1</v>
      </c>
      <c r="E48" s="231" t="s">
        <v>88</v>
      </c>
      <c r="F48" s="232" t="s">
        <v>167</v>
      </c>
      <c r="G48" s="233" t="s">
        <v>81</v>
      </c>
      <c r="H48" s="53" t="str">
        <f>VLOOKUP(E48,MD!$C$6:$K$54,3,FALSE)</f>
        <v>ALPS_我要買GTR</v>
      </c>
      <c r="I48" s="53" t="s">
        <v>167</v>
      </c>
      <c r="J48" s="53" t="str">
        <f>VLOOKUP(G48,MD!$C$6:$K$54,3,FALSE)</f>
        <v>ALPS - 平均米九</v>
      </c>
      <c r="K48" s="46"/>
      <c r="L48" s="46"/>
      <c r="M48" s="46"/>
      <c r="N48" s="46"/>
    </row>
    <row r="49" spans="2:14" hidden="1">
      <c r="B49" s="221">
        <v>44</v>
      </c>
      <c r="C49" s="243" t="s">
        <v>171</v>
      </c>
      <c r="D49" s="230">
        <v>2</v>
      </c>
      <c r="E49" s="231" t="s">
        <v>68</v>
      </c>
      <c r="F49" s="232" t="s">
        <v>167</v>
      </c>
      <c r="G49" s="233" t="s">
        <v>80</v>
      </c>
      <c r="H49" s="53" t="str">
        <f>VLOOKUP(E49,MD!$C$6:$K$54,3,FALSE)</f>
        <v>FS</v>
      </c>
      <c r="I49" s="53" t="s">
        <v>167</v>
      </c>
      <c r="J49" s="53" t="str">
        <f>VLOOKUP(G49,MD!$C$6:$K$54,3,FALSE)</f>
        <v>LSC</v>
      </c>
      <c r="K49" s="46"/>
      <c r="L49" s="46"/>
      <c r="M49" s="46"/>
      <c r="N49" s="46"/>
    </row>
    <row r="50" spans="2:14" hidden="1">
      <c r="B50" s="214">
        <v>45</v>
      </c>
      <c r="C50" s="243" t="s">
        <v>171</v>
      </c>
      <c r="D50" s="230">
        <v>3</v>
      </c>
      <c r="E50" s="231" t="s">
        <v>88</v>
      </c>
      <c r="F50" s="232" t="s">
        <v>167</v>
      </c>
      <c r="G50" s="233" t="s">
        <v>80</v>
      </c>
      <c r="H50" s="53" t="str">
        <f>VLOOKUP(E50,MD!$C$6:$K$54,3,FALSE)</f>
        <v>ALPS_我要買GTR</v>
      </c>
      <c r="I50" s="53" t="s">
        <v>167</v>
      </c>
      <c r="J50" s="53" t="str">
        <f>VLOOKUP(G50,MD!$C$6:$K$54,3,FALSE)</f>
        <v>LSC</v>
      </c>
      <c r="K50" s="46"/>
      <c r="L50" s="46"/>
      <c r="M50" s="46"/>
      <c r="N50" s="46"/>
    </row>
    <row r="51" spans="2:14" hidden="1">
      <c r="B51" s="221">
        <v>46</v>
      </c>
      <c r="C51" s="243" t="s">
        <v>171</v>
      </c>
      <c r="D51" s="230">
        <v>4</v>
      </c>
      <c r="E51" s="231" t="s">
        <v>68</v>
      </c>
      <c r="F51" s="232" t="s">
        <v>167</v>
      </c>
      <c r="G51" s="233" t="s">
        <v>81</v>
      </c>
      <c r="H51" s="53" t="str">
        <f>VLOOKUP(E51,MD!$C$6:$K$54,3,FALSE)</f>
        <v>FS</v>
      </c>
      <c r="I51" s="53" t="s">
        <v>167</v>
      </c>
      <c r="J51" s="53" t="str">
        <f>VLOOKUP(G51,MD!$C$6:$K$54,3,FALSE)</f>
        <v>ALPS - 平均米九</v>
      </c>
      <c r="K51" s="46"/>
      <c r="L51" s="46"/>
      <c r="M51" s="46"/>
      <c r="N51" s="46"/>
    </row>
    <row r="52" spans="2:14" hidden="1">
      <c r="B52" s="214">
        <v>47</v>
      </c>
      <c r="C52" s="243" t="s">
        <v>171</v>
      </c>
      <c r="D52" s="230">
        <v>5</v>
      </c>
      <c r="E52" s="231" t="s">
        <v>80</v>
      </c>
      <c r="F52" s="232" t="s">
        <v>167</v>
      </c>
      <c r="G52" s="233" t="s">
        <v>81</v>
      </c>
      <c r="H52" s="53" t="str">
        <f>VLOOKUP(E52,MD!$C$6:$K$54,3,FALSE)</f>
        <v>LSC</v>
      </c>
      <c r="I52" s="53" t="s">
        <v>167</v>
      </c>
      <c r="J52" s="53" t="str">
        <f>VLOOKUP(G52,MD!$C$6:$K$54,3,FALSE)</f>
        <v>ALPS - 平均米九</v>
      </c>
      <c r="K52" s="46"/>
      <c r="L52" s="46"/>
      <c r="M52" s="46"/>
      <c r="N52" s="46"/>
    </row>
    <row r="53" spans="2:14" hidden="1">
      <c r="B53" s="221">
        <v>48</v>
      </c>
      <c r="C53" s="244" t="s">
        <v>171</v>
      </c>
      <c r="D53" s="234">
        <v>6</v>
      </c>
      <c r="E53" s="235" t="s">
        <v>88</v>
      </c>
      <c r="F53" s="236" t="s">
        <v>167</v>
      </c>
      <c r="G53" s="237" t="s">
        <v>68</v>
      </c>
      <c r="H53" s="53" t="str">
        <f>VLOOKUP(E53,MD!$C$6:$K$54,3,FALSE)</f>
        <v>ALPS_我要買GTR</v>
      </c>
      <c r="I53" s="55" t="s">
        <v>167</v>
      </c>
      <c r="J53" s="53" t="str">
        <f>VLOOKUP(G53,MD!$C$6:$K$54,3,FALSE)</f>
        <v>FS</v>
      </c>
      <c r="K53" s="46"/>
      <c r="L53" s="46"/>
      <c r="M53" s="46"/>
      <c r="N53" s="46"/>
    </row>
    <row r="54" spans="2:14" hidden="1">
      <c r="B54" s="245"/>
      <c r="C54" s="245"/>
      <c r="D54" s="245"/>
      <c r="E54" s="245"/>
      <c r="F54" s="245"/>
      <c r="G54" s="245"/>
      <c r="H54" s="48" t="e">
        <f>VLOOKUP(E54,#REF!,3,FALSE)</f>
        <v>#REF!</v>
      </c>
    </row>
  </sheetData>
  <sheetProtection selectLockedCells="1" selectUnlockedCells="1"/>
  <phoneticPr fontId="49" type="noConversion"/>
  <printOptions horizontalCentered="1" verticalCentered="1"/>
  <pageMargins left="0.74791666666666667" right="0.74791666666666667" top="0.52013888888888893" bottom="0.54027777777777775" header="0.51180555555555551" footer="0.51180555555555551"/>
  <pageSetup paperSize="9" scale="67" firstPageNumber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R114"/>
  <sheetViews>
    <sheetView tabSelected="1" topLeftCell="A13" zoomScale="70" zoomScaleNormal="70" workbookViewId="0">
      <selection activeCell="G55" sqref="G55"/>
    </sheetView>
  </sheetViews>
  <sheetFormatPr defaultColWidth="7.6640625" defaultRowHeight="15.75"/>
  <cols>
    <col min="1" max="1" width="3.33203125" style="43" customWidth="1"/>
    <col min="2" max="2" width="22" style="355" customWidth="1"/>
    <col min="3" max="3" width="11" style="43" customWidth="1"/>
    <col min="4" max="4" width="10.6640625" style="44" bestFit="1" customWidth="1"/>
    <col min="5" max="8" width="10.6640625" style="43" customWidth="1"/>
    <col min="9" max="9" width="14.109375" style="43" bestFit="1" customWidth="1"/>
    <col min="10" max="15" width="11" style="43" customWidth="1"/>
    <col min="16" max="16" width="11.6640625" style="43" customWidth="1"/>
    <col min="17" max="16384" width="7.6640625" style="43"/>
  </cols>
  <sheetData>
    <row r="1" spans="2:18">
      <c r="B1" s="369" t="s">
        <v>339</v>
      </c>
      <c r="C1" s="180"/>
      <c r="D1" s="246"/>
      <c r="E1" s="181"/>
    </row>
    <row r="2" spans="2:18">
      <c r="B2" s="369"/>
      <c r="C2" s="180"/>
      <c r="D2" s="246"/>
      <c r="E2" s="181"/>
    </row>
    <row r="3" spans="2:18">
      <c r="B3" s="369" t="s">
        <v>340</v>
      </c>
      <c r="C3" s="180"/>
      <c r="D3" s="246"/>
      <c r="E3" s="181"/>
    </row>
    <row r="4" spans="2:18">
      <c r="B4" s="369" t="s">
        <v>341</v>
      </c>
      <c r="C4" s="180"/>
      <c r="D4" s="246"/>
      <c r="E4" s="181"/>
    </row>
    <row r="5" spans="2:18">
      <c r="B5" s="370" t="s">
        <v>342</v>
      </c>
      <c r="C5" s="248"/>
      <c r="D5" s="249"/>
      <c r="E5" s="250"/>
      <c r="F5" s="251"/>
      <c r="G5" s="251"/>
      <c r="H5" s="251"/>
      <c r="I5" s="251"/>
    </row>
    <row r="6" spans="2:18">
      <c r="B6" s="370"/>
      <c r="C6" s="248"/>
      <c r="D6" s="249"/>
      <c r="E6" s="250"/>
      <c r="F6" s="251"/>
      <c r="G6" s="251"/>
      <c r="H6" s="251"/>
      <c r="I6" s="251"/>
    </row>
    <row r="7" spans="2:18">
      <c r="B7" s="364"/>
      <c r="C7" s="95" t="s">
        <v>166</v>
      </c>
      <c r="D7" s="95" t="s">
        <v>172</v>
      </c>
      <c r="E7" s="95" t="s">
        <v>173</v>
      </c>
      <c r="F7" s="95" t="s">
        <v>174</v>
      </c>
      <c r="G7" s="95" t="s">
        <v>168</v>
      </c>
      <c r="H7" s="95" t="s">
        <v>169</v>
      </c>
      <c r="I7" s="95" t="s">
        <v>170</v>
      </c>
      <c r="J7" s="95" t="s">
        <v>171</v>
      </c>
      <c r="K7" s="44"/>
      <c r="P7" s="44"/>
      <c r="Q7" s="44"/>
      <c r="R7" s="44"/>
    </row>
    <row r="8" spans="2:18">
      <c r="B8" s="365"/>
      <c r="C8" s="96" t="s">
        <v>175</v>
      </c>
      <c r="D8" s="96" t="s">
        <v>176</v>
      </c>
      <c r="E8" s="96" t="s">
        <v>177</v>
      </c>
      <c r="F8" s="96" t="s">
        <v>178</v>
      </c>
      <c r="G8" s="96" t="s">
        <v>179</v>
      </c>
      <c r="H8" s="96" t="s">
        <v>180</v>
      </c>
      <c r="I8" s="96" t="s">
        <v>181</v>
      </c>
      <c r="J8" s="96" t="s">
        <v>182</v>
      </c>
    </row>
    <row r="9" spans="2:18">
      <c r="B9" s="365"/>
      <c r="C9" s="96" t="s">
        <v>183</v>
      </c>
      <c r="D9" s="96" t="s">
        <v>184</v>
      </c>
      <c r="E9" s="96" t="s">
        <v>185</v>
      </c>
      <c r="F9" s="96" t="s">
        <v>186</v>
      </c>
      <c r="G9" s="96" t="s">
        <v>187</v>
      </c>
      <c r="H9" s="96" t="s">
        <v>188</v>
      </c>
      <c r="I9" s="96" t="s">
        <v>189</v>
      </c>
      <c r="J9" s="96" t="s">
        <v>190</v>
      </c>
    </row>
    <row r="10" spans="2:18">
      <c r="B10" s="365"/>
      <c r="C10" s="96" t="s">
        <v>191</v>
      </c>
      <c r="D10" s="96" t="s">
        <v>192</v>
      </c>
      <c r="E10" s="96" t="s">
        <v>193</v>
      </c>
      <c r="F10" s="96" t="s">
        <v>194</v>
      </c>
      <c r="G10" s="96" t="s">
        <v>195</v>
      </c>
      <c r="H10" s="96" t="s">
        <v>196</v>
      </c>
      <c r="I10" s="96" t="s">
        <v>197</v>
      </c>
      <c r="J10" s="96" t="s">
        <v>198</v>
      </c>
    </row>
    <row r="11" spans="2:18">
      <c r="B11" s="365"/>
      <c r="C11" s="96" t="s">
        <v>623</v>
      </c>
      <c r="D11" s="96" t="s">
        <v>624</v>
      </c>
      <c r="E11" s="96" t="s">
        <v>625</v>
      </c>
      <c r="F11" s="96" t="s">
        <v>248</v>
      </c>
      <c r="G11" s="96" t="s">
        <v>199</v>
      </c>
      <c r="H11" s="96" t="s">
        <v>200</v>
      </c>
      <c r="I11" s="96" t="s">
        <v>201</v>
      </c>
      <c r="J11" s="96" t="s">
        <v>202</v>
      </c>
    </row>
    <row r="12" spans="2:18">
      <c r="C12" s="44"/>
      <c r="E12" s="44"/>
      <c r="F12" s="44"/>
      <c r="G12" s="44"/>
      <c r="H12" s="44"/>
      <c r="I12" s="44"/>
      <c r="J12" s="44"/>
    </row>
    <row r="13" spans="2:18">
      <c r="B13" s="371"/>
      <c r="D13" s="43"/>
    </row>
    <row r="14" spans="2:18">
      <c r="B14" s="370" t="s">
        <v>329</v>
      </c>
      <c r="C14" s="251"/>
      <c r="D14" s="255"/>
      <c r="E14" s="251"/>
      <c r="F14" s="251"/>
      <c r="G14" s="251"/>
    </row>
    <row r="15" spans="2:18">
      <c r="B15" s="395" t="s">
        <v>700</v>
      </c>
      <c r="C15" s="251"/>
      <c r="D15" s="255"/>
      <c r="E15" s="251"/>
      <c r="F15" s="251"/>
      <c r="G15" s="251"/>
    </row>
    <row r="16" spans="2:18">
      <c r="B16" s="370"/>
      <c r="C16" s="251"/>
      <c r="D16" s="255"/>
      <c r="E16" s="251"/>
      <c r="F16" s="251"/>
      <c r="G16" s="251"/>
    </row>
    <row r="17" spans="2:15">
      <c r="B17" s="396" t="s">
        <v>330</v>
      </c>
      <c r="D17" s="43"/>
    </row>
    <row r="18" spans="2:15">
      <c r="D18" s="43"/>
    </row>
    <row r="19" spans="2:15">
      <c r="B19" s="265" t="str">
        <f>男乙賽程!R7</f>
        <v>Alps LC</v>
      </c>
      <c r="C19" s="56" t="s">
        <v>61</v>
      </c>
      <c r="D19" s="43"/>
    </row>
    <row r="20" spans="2:15">
      <c r="C20" s="357" t="s">
        <v>203</v>
      </c>
      <c r="D20" s="351"/>
    </row>
    <row r="21" spans="2:15">
      <c r="C21" s="358"/>
      <c r="D21" s="374"/>
      <c r="E21" s="259"/>
      <c r="F21" s="99"/>
      <c r="G21" s="99"/>
      <c r="H21" s="99"/>
      <c r="I21" s="99"/>
      <c r="L21" s="331"/>
    </row>
    <row r="22" spans="2:15">
      <c r="B22" s="265" t="str">
        <f>B71</f>
        <v>Ben &amp; Eoach</v>
      </c>
      <c r="C22" s="359"/>
      <c r="D22" s="357"/>
      <c r="E22" s="321"/>
      <c r="F22" s="99"/>
      <c r="G22" s="99"/>
      <c r="H22" s="99"/>
      <c r="I22" s="99"/>
      <c r="M22" s="259"/>
      <c r="N22" s="259"/>
      <c r="O22" s="99"/>
    </row>
    <row r="23" spans="2:15">
      <c r="D23" s="357" t="s">
        <v>204</v>
      </c>
      <c r="E23" s="99"/>
      <c r="F23" s="378"/>
      <c r="G23" s="99"/>
      <c r="H23" s="99"/>
      <c r="I23" s="99"/>
      <c r="M23" s="259"/>
      <c r="N23" s="259"/>
      <c r="O23" s="99"/>
    </row>
    <row r="24" spans="2:15">
      <c r="B24" s="366"/>
      <c r="D24" s="358"/>
      <c r="E24" s="99"/>
      <c r="F24" s="314"/>
      <c r="G24" s="99"/>
      <c r="H24" s="99"/>
      <c r="I24" s="99"/>
      <c r="M24" s="331"/>
      <c r="N24" s="99"/>
      <c r="O24" s="99"/>
    </row>
    <row r="25" spans="2:15">
      <c r="B25" s="265">
        <f>B74</f>
        <v>1987.5</v>
      </c>
      <c r="C25" s="56"/>
      <c r="D25" s="310"/>
      <c r="E25" s="259"/>
      <c r="F25" s="314"/>
      <c r="G25" s="304"/>
      <c r="H25" s="99"/>
      <c r="I25" s="99"/>
      <c r="M25" s="331"/>
      <c r="N25" s="99"/>
      <c r="O25" s="99"/>
    </row>
    <row r="26" spans="2:15">
      <c r="B26" s="372"/>
      <c r="C26" s="357" t="s">
        <v>205</v>
      </c>
      <c r="D26" s="375"/>
      <c r="E26" s="268"/>
      <c r="F26" s="314"/>
      <c r="G26" s="304"/>
      <c r="H26" s="99"/>
      <c r="I26" s="99"/>
      <c r="M26" s="259"/>
      <c r="N26" s="259"/>
      <c r="O26" s="99"/>
    </row>
    <row r="27" spans="2:15">
      <c r="C27" s="358"/>
      <c r="D27" s="259"/>
      <c r="E27" s="259"/>
      <c r="F27" s="314"/>
      <c r="G27" s="304"/>
      <c r="H27" s="99"/>
      <c r="I27" s="99"/>
      <c r="L27" s="331"/>
      <c r="M27" s="259"/>
      <c r="N27" s="268"/>
      <c r="O27" s="99"/>
    </row>
    <row r="28" spans="2:15">
      <c r="B28" s="265" t="str">
        <f>男乙賽程!Y25</f>
        <v>ALPS-平均米九</v>
      </c>
      <c r="C28" s="359" t="s">
        <v>88</v>
      </c>
      <c r="D28" s="259"/>
      <c r="E28" s="331"/>
      <c r="F28" s="357" t="s">
        <v>206</v>
      </c>
      <c r="G28" s="331"/>
      <c r="H28" s="99"/>
      <c r="I28" s="99"/>
      <c r="M28" s="259"/>
      <c r="N28" s="259"/>
      <c r="O28" s="99"/>
    </row>
    <row r="29" spans="2:15">
      <c r="D29" s="259"/>
      <c r="E29" s="259"/>
      <c r="F29" s="358"/>
      <c r="M29" s="259"/>
      <c r="N29" s="331"/>
      <c r="O29" s="331"/>
    </row>
    <row r="30" spans="2:15">
      <c r="B30" s="366"/>
      <c r="C30" s="57"/>
      <c r="D30" s="259"/>
      <c r="E30" s="259"/>
      <c r="F30" s="314"/>
      <c r="M30" s="259"/>
      <c r="N30" s="259"/>
      <c r="O30" s="99"/>
    </row>
    <row r="31" spans="2:15">
      <c r="B31" s="350" t="str">
        <f>男乙賽程!R19</f>
        <v>SKTL</v>
      </c>
      <c r="C31" s="56" t="s">
        <v>66</v>
      </c>
      <c r="D31" s="331"/>
      <c r="E31" s="99"/>
      <c r="F31" s="314"/>
      <c r="M31" s="259"/>
      <c r="N31" s="259"/>
      <c r="O31" s="99"/>
    </row>
    <row r="32" spans="2:15">
      <c r="C32" s="357" t="s">
        <v>207</v>
      </c>
      <c r="D32" s="296"/>
      <c r="E32" s="99"/>
      <c r="F32" s="314"/>
      <c r="M32" s="259"/>
      <c r="N32" s="259"/>
      <c r="O32" s="99"/>
    </row>
    <row r="33" spans="2:15">
      <c r="C33" s="264"/>
      <c r="D33" s="129"/>
      <c r="E33" s="259"/>
      <c r="F33" s="314"/>
      <c r="H33" s="285"/>
      <c r="M33" s="331"/>
      <c r="N33" s="99"/>
      <c r="O33" s="99"/>
    </row>
    <row r="34" spans="2:15">
      <c r="B34" s="265" t="str">
        <f>B75</f>
        <v>企拍</v>
      </c>
      <c r="C34" s="363"/>
      <c r="D34" s="373"/>
      <c r="E34" s="259"/>
      <c r="F34" s="314"/>
      <c r="G34" s="383"/>
      <c r="H34" s="312"/>
      <c r="I34" s="99"/>
      <c r="L34" s="331"/>
      <c r="M34" s="259"/>
      <c r="N34" s="259"/>
      <c r="O34" s="99"/>
    </row>
    <row r="35" spans="2:15">
      <c r="D35" s="357"/>
      <c r="E35" s="313"/>
      <c r="F35" s="378"/>
      <c r="G35" s="304"/>
      <c r="H35" s="314"/>
      <c r="I35" s="99"/>
      <c r="M35" s="259"/>
      <c r="N35" s="259"/>
      <c r="O35" s="99"/>
    </row>
    <row r="36" spans="2:15">
      <c r="D36" s="357" t="s">
        <v>208</v>
      </c>
      <c r="E36" s="259"/>
      <c r="F36" s="99"/>
      <c r="G36" s="99"/>
      <c r="H36" s="314"/>
      <c r="I36" s="99"/>
      <c r="M36" s="331"/>
      <c r="N36" s="259"/>
      <c r="O36" s="99"/>
    </row>
    <row r="37" spans="2:15">
      <c r="C37" s="191"/>
      <c r="D37" s="310"/>
      <c r="E37" s="259"/>
      <c r="F37" s="99"/>
      <c r="G37" s="99"/>
      <c r="H37" s="314"/>
      <c r="I37" s="99"/>
      <c r="M37" s="259"/>
      <c r="N37" s="259"/>
      <c r="O37" s="99"/>
    </row>
    <row r="38" spans="2:15">
      <c r="B38" s="265" t="str">
        <f>B70</f>
        <v>SCAA K&amp;L</v>
      </c>
      <c r="C38" s="56"/>
      <c r="D38" s="310"/>
      <c r="E38" s="259"/>
      <c r="F38" s="99"/>
      <c r="G38" s="99"/>
      <c r="H38" s="314"/>
      <c r="I38" s="99"/>
      <c r="M38" s="259"/>
      <c r="N38" s="259"/>
      <c r="O38" s="99"/>
    </row>
    <row r="39" spans="2:15">
      <c r="C39" s="357" t="s">
        <v>209</v>
      </c>
      <c r="D39" s="374"/>
      <c r="E39" s="259"/>
      <c r="F39" s="99"/>
      <c r="G39" s="99"/>
      <c r="H39" s="314"/>
      <c r="I39" s="99"/>
      <c r="M39" s="259"/>
      <c r="N39" s="259"/>
      <c r="O39" s="99"/>
    </row>
    <row r="40" spans="2:15" ht="15.75" customHeight="1">
      <c r="C40" s="358"/>
      <c r="D40" s="259"/>
      <c r="E40" s="259"/>
      <c r="F40" s="99"/>
      <c r="G40" s="99"/>
      <c r="H40" s="314"/>
      <c r="I40" s="99"/>
      <c r="J40" s="366"/>
      <c r="L40" s="331"/>
      <c r="M40" s="259"/>
      <c r="N40" s="259"/>
      <c r="O40" s="99"/>
    </row>
    <row r="41" spans="2:15" ht="15.75" customHeight="1">
      <c r="B41" s="265" t="str">
        <f>男乙賽程!Y13</f>
        <v>我叫你</v>
      </c>
      <c r="C41" s="359" t="s">
        <v>65</v>
      </c>
      <c r="D41" s="331"/>
      <c r="E41" s="99"/>
      <c r="F41" s="99"/>
      <c r="H41" s="314"/>
      <c r="I41" s="384" t="s">
        <v>210</v>
      </c>
      <c r="J41" s="265"/>
      <c r="K41" s="188"/>
      <c r="M41" s="259"/>
      <c r="N41" s="259"/>
      <c r="O41" s="99"/>
    </row>
    <row r="42" spans="2:15">
      <c r="D42" s="259"/>
      <c r="E42" s="259"/>
      <c r="F42" s="99"/>
      <c r="H42" s="379"/>
      <c r="I42" s="259" t="s">
        <v>143</v>
      </c>
      <c r="J42" s="128"/>
      <c r="M42" s="331"/>
      <c r="N42" s="99"/>
      <c r="O42" s="99"/>
    </row>
    <row r="43" spans="2:15">
      <c r="C43" s="57"/>
      <c r="D43" s="259"/>
      <c r="E43" s="268"/>
      <c r="F43" s="99"/>
      <c r="G43" s="362"/>
      <c r="H43" s="314"/>
      <c r="I43" s="362"/>
      <c r="M43" s="259"/>
      <c r="N43" s="259"/>
      <c r="O43" s="99"/>
    </row>
    <row r="44" spans="2:15">
      <c r="B44" s="265" t="str">
        <f>男乙賽程!R13</f>
        <v>ALPS-handshake</v>
      </c>
      <c r="C44" s="56" t="s">
        <v>64</v>
      </c>
      <c r="D44" s="43"/>
      <c r="G44" s="99"/>
      <c r="H44" s="314"/>
      <c r="I44" s="99"/>
      <c r="M44" s="259"/>
      <c r="N44" s="268"/>
      <c r="O44" s="99"/>
    </row>
    <row r="45" spans="2:15">
      <c r="C45" s="357" t="s">
        <v>211</v>
      </c>
      <c r="D45" s="43"/>
      <c r="G45" s="99"/>
      <c r="H45" s="314"/>
      <c r="I45" s="99"/>
    </row>
    <row r="46" spans="2:15">
      <c r="C46" s="358"/>
      <c r="D46" s="374"/>
      <c r="E46" s="259"/>
      <c r="F46" s="99"/>
      <c r="G46" s="99"/>
      <c r="H46" s="314"/>
      <c r="I46" s="99"/>
      <c r="L46" s="331"/>
    </row>
    <row r="47" spans="2:15">
      <c r="B47" s="265" t="str">
        <f>B72</f>
        <v>Pak &amp; Ivan</v>
      </c>
      <c r="C47" s="359"/>
      <c r="D47" s="310"/>
      <c r="E47" s="321"/>
      <c r="F47" s="99"/>
      <c r="G47" s="99"/>
      <c r="H47" s="314"/>
      <c r="I47" s="99"/>
      <c r="M47" s="259"/>
      <c r="N47" s="259"/>
      <c r="O47" s="99"/>
    </row>
    <row r="48" spans="2:15">
      <c r="D48" s="357" t="s">
        <v>212</v>
      </c>
      <c r="E48" s="99"/>
      <c r="F48" s="378"/>
      <c r="G48" s="99"/>
      <c r="H48" s="314"/>
      <c r="I48" s="99"/>
      <c r="M48" s="259"/>
      <c r="N48" s="259"/>
      <c r="O48" s="99"/>
    </row>
    <row r="49" spans="2:15">
      <c r="D49" s="357"/>
      <c r="E49" s="99"/>
      <c r="F49" s="314"/>
      <c r="G49" s="99"/>
      <c r="H49" s="314"/>
      <c r="I49" s="99"/>
      <c r="M49" s="331"/>
      <c r="N49" s="99"/>
      <c r="O49" s="99"/>
    </row>
    <row r="50" spans="2:15">
      <c r="B50" s="265" t="str">
        <f>B73</f>
        <v>夢幻組合</v>
      </c>
      <c r="C50" s="56"/>
      <c r="D50" s="358"/>
      <c r="E50" s="259"/>
      <c r="F50" s="314"/>
      <c r="G50" s="384"/>
      <c r="H50" s="322"/>
      <c r="I50" s="99"/>
      <c r="M50" s="331"/>
      <c r="N50" s="99"/>
      <c r="O50" s="99"/>
    </row>
    <row r="51" spans="2:15">
      <c r="C51" s="357" t="s">
        <v>213</v>
      </c>
      <c r="D51" s="374"/>
      <c r="E51" s="268"/>
      <c r="F51" s="314"/>
      <c r="G51" s="259"/>
      <c r="H51" s="272"/>
      <c r="I51" s="99"/>
      <c r="M51" s="259"/>
      <c r="N51" s="259"/>
      <c r="O51" s="99"/>
    </row>
    <row r="52" spans="2:15">
      <c r="B52" s="306"/>
      <c r="C52" s="358"/>
      <c r="D52" s="259"/>
      <c r="E52" s="259"/>
      <c r="F52" s="314"/>
      <c r="G52" s="259"/>
      <c r="H52" s="99"/>
      <c r="I52" s="99"/>
      <c r="L52" s="331"/>
      <c r="M52" s="259"/>
      <c r="N52" s="268"/>
      <c r="O52" s="99"/>
    </row>
    <row r="53" spans="2:15">
      <c r="B53" s="265" t="str">
        <f>男乙賽程!Y19</f>
        <v>SCAA YA</v>
      </c>
      <c r="C53" s="359" t="s">
        <v>67</v>
      </c>
      <c r="D53" s="259"/>
      <c r="E53" s="331"/>
      <c r="F53" s="357" t="s">
        <v>214</v>
      </c>
      <c r="I53" s="99"/>
      <c r="M53" s="259"/>
      <c r="N53" s="259"/>
      <c r="O53" s="99"/>
    </row>
    <row r="54" spans="2:15">
      <c r="B54" s="306"/>
      <c r="D54" s="259"/>
      <c r="E54" s="259"/>
      <c r="F54" s="358"/>
      <c r="I54" s="99"/>
      <c r="K54" s="99"/>
      <c r="M54" s="259"/>
      <c r="N54" s="331"/>
      <c r="O54" s="331"/>
    </row>
    <row r="55" spans="2:15">
      <c r="D55" s="259"/>
      <c r="E55" s="259"/>
      <c r="F55" s="314"/>
      <c r="I55" s="99"/>
      <c r="M55" s="259"/>
      <c r="N55" s="259"/>
      <c r="O55" s="99"/>
    </row>
    <row r="56" spans="2:15">
      <c r="B56" s="265" t="str">
        <f>B76</f>
        <v>ALPS_我要買GTR</v>
      </c>
      <c r="C56" s="56"/>
      <c r="D56" s="331"/>
      <c r="E56" s="99"/>
      <c r="F56" s="314"/>
      <c r="I56" s="99"/>
      <c r="K56" s="99"/>
      <c r="M56" s="259"/>
      <c r="N56" s="259"/>
      <c r="O56" s="99"/>
    </row>
    <row r="57" spans="2:15">
      <c r="C57" s="357" t="s">
        <v>215</v>
      </c>
      <c r="D57" s="376"/>
      <c r="E57" s="259"/>
      <c r="F57" s="314"/>
      <c r="G57" s="99"/>
      <c r="K57" s="99"/>
      <c r="M57" s="331"/>
      <c r="N57" s="99"/>
      <c r="O57" s="99"/>
    </row>
    <row r="58" spans="2:15">
      <c r="B58" s="306"/>
      <c r="C58" s="358"/>
      <c r="D58" s="374"/>
      <c r="E58" s="259"/>
      <c r="F58" s="314"/>
      <c r="J58" s="99"/>
      <c r="K58" s="99"/>
      <c r="L58" s="331"/>
      <c r="M58" s="259"/>
      <c r="N58" s="259"/>
      <c r="O58" s="99"/>
    </row>
    <row r="59" spans="2:15">
      <c r="B59" s="265" t="str">
        <f>男乙賽程!R25</f>
        <v>紅藍</v>
      </c>
      <c r="C59" s="359" t="s">
        <v>87</v>
      </c>
      <c r="D59" s="357"/>
      <c r="E59" s="313"/>
      <c r="F59" s="378"/>
      <c r="H59" s="380"/>
      <c r="I59" s="188"/>
      <c r="J59" s="99"/>
      <c r="M59" s="259"/>
      <c r="N59" s="259"/>
      <c r="O59" s="99"/>
    </row>
    <row r="60" spans="2:15">
      <c r="D60" s="357" t="s">
        <v>216</v>
      </c>
      <c r="E60" s="259"/>
      <c r="F60" s="272"/>
      <c r="H60" s="381"/>
      <c r="J60" s="99"/>
      <c r="K60" s="99"/>
      <c r="M60" s="331"/>
      <c r="N60" s="259"/>
      <c r="O60" s="99"/>
    </row>
    <row r="61" spans="2:15">
      <c r="B61" s="366"/>
      <c r="D61" s="358"/>
      <c r="E61" s="259"/>
      <c r="F61" s="272"/>
      <c r="H61" s="192"/>
      <c r="I61" s="331" t="s">
        <v>217</v>
      </c>
      <c r="J61" s="99"/>
      <c r="K61" s="99"/>
      <c r="M61" s="259"/>
      <c r="N61" s="259"/>
      <c r="O61" s="99"/>
    </row>
    <row r="62" spans="2:15">
      <c r="B62" s="367" t="str">
        <f>B69</f>
        <v>Alps-ZJ</v>
      </c>
      <c r="C62" s="56"/>
      <c r="D62" s="310"/>
      <c r="E62" s="259"/>
      <c r="F62" s="99"/>
      <c r="H62" s="192"/>
      <c r="I62" s="385" t="s">
        <v>146</v>
      </c>
      <c r="J62" s="382"/>
      <c r="K62" s="188"/>
      <c r="M62" s="259"/>
      <c r="N62" s="259"/>
      <c r="O62" s="99"/>
    </row>
    <row r="63" spans="2:15">
      <c r="B63" s="372"/>
      <c r="C63" s="357" t="s">
        <v>218</v>
      </c>
      <c r="D63" s="374"/>
      <c r="E63" s="259"/>
      <c r="F63" s="99"/>
      <c r="H63" s="192"/>
      <c r="J63" s="99"/>
      <c r="M63" s="259"/>
      <c r="N63" s="259"/>
      <c r="O63" s="99"/>
    </row>
    <row r="64" spans="2:15">
      <c r="C64" s="358"/>
      <c r="D64" s="259"/>
      <c r="E64" s="259"/>
      <c r="F64" s="99"/>
      <c r="H64" s="192"/>
      <c r="J64" s="99"/>
      <c r="L64" s="331"/>
      <c r="M64" s="259"/>
      <c r="N64" s="259"/>
      <c r="O64" s="99"/>
    </row>
    <row r="65" spans="2:15">
      <c r="B65" s="265" t="str">
        <f>男乙賽程!Y7</f>
        <v>米奇與大隻仔</v>
      </c>
      <c r="C65" s="359" t="s">
        <v>62</v>
      </c>
      <c r="D65" s="331"/>
      <c r="E65" s="99"/>
      <c r="F65" s="99"/>
      <c r="G65" s="328"/>
      <c r="H65" s="378"/>
      <c r="M65" s="259"/>
      <c r="N65" s="259"/>
      <c r="O65" s="99"/>
    </row>
    <row r="66" spans="2:15">
      <c r="K66" s="44"/>
      <c r="M66" s="331"/>
      <c r="N66" s="99"/>
      <c r="O66" s="99"/>
    </row>
    <row r="67" spans="2:15">
      <c r="G67" s="328" t="s">
        <v>147</v>
      </c>
      <c r="H67" s="99" t="s">
        <v>152</v>
      </c>
      <c r="M67" s="259"/>
      <c r="N67" s="266"/>
    </row>
    <row r="68" spans="2:15">
      <c r="G68" s="328" t="s">
        <v>149</v>
      </c>
      <c r="H68" s="99" t="s">
        <v>154</v>
      </c>
    </row>
    <row r="69" spans="2:15">
      <c r="B69" s="267" t="str">
        <f>男乙賽程!R8</f>
        <v>Alps-ZJ</v>
      </c>
      <c r="C69" s="267" t="s">
        <v>302</v>
      </c>
      <c r="G69" s="328" t="s">
        <v>151</v>
      </c>
      <c r="H69" s="99" t="s">
        <v>219</v>
      </c>
    </row>
    <row r="70" spans="2:15">
      <c r="B70" s="267" t="str">
        <f>男乙賽程!Y8</f>
        <v>SCAA K&amp;L</v>
      </c>
      <c r="C70" s="267" t="s">
        <v>303</v>
      </c>
      <c r="G70" s="328" t="s">
        <v>153</v>
      </c>
      <c r="H70" s="99" t="s">
        <v>220</v>
      </c>
    </row>
    <row r="71" spans="2:15">
      <c r="B71" s="267" t="str">
        <f>男乙賽程!R14</f>
        <v>Ben &amp; Eoach</v>
      </c>
      <c r="C71" s="267" t="s">
        <v>304</v>
      </c>
      <c r="G71" s="328" t="s">
        <v>221</v>
      </c>
      <c r="H71" s="99" t="s">
        <v>222</v>
      </c>
    </row>
    <row r="72" spans="2:15">
      <c r="B72" s="267" t="str">
        <f>男乙賽程!Y14</f>
        <v>Pak &amp; Ivan</v>
      </c>
      <c r="C72" s="267" t="s">
        <v>305</v>
      </c>
      <c r="G72" s="328" t="s">
        <v>223</v>
      </c>
      <c r="H72" s="99" t="s">
        <v>224</v>
      </c>
    </row>
    <row r="73" spans="2:15">
      <c r="B73" s="267" t="str">
        <f>男乙賽程!R20</f>
        <v>夢幻組合</v>
      </c>
      <c r="C73" s="267" t="s">
        <v>306</v>
      </c>
    </row>
    <row r="74" spans="2:15">
      <c r="B74" s="267">
        <f>男乙賽程!Y20</f>
        <v>1987.5</v>
      </c>
      <c r="C74" s="267" t="s">
        <v>307</v>
      </c>
    </row>
    <row r="75" spans="2:15">
      <c r="B75" s="267" t="str">
        <f>男乙賽程!R26</f>
        <v>企拍</v>
      </c>
      <c r="C75" s="360" t="s">
        <v>296</v>
      </c>
      <c r="D75" s="268"/>
      <c r="E75" s="268"/>
      <c r="F75" s="99"/>
      <c r="G75" s="99"/>
      <c r="H75" s="99"/>
      <c r="I75" s="99"/>
    </row>
    <row r="76" spans="2:15">
      <c r="B76" s="267" t="str">
        <f>男乙賽程!Y26</f>
        <v>ALPS_我要買GTR</v>
      </c>
      <c r="C76" s="361" t="s">
        <v>308</v>
      </c>
      <c r="D76" s="377"/>
      <c r="E76" s="259"/>
      <c r="F76" s="99"/>
      <c r="G76" s="99"/>
      <c r="H76" s="99"/>
      <c r="I76" s="99"/>
    </row>
    <row r="77" spans="2:15">
      <c r="C77" s="57"/>
      <c r="D77" s="259"/>
      <c r="E77" s="331"/>
      <c r="F77" s="331"/>
      <c r="G77" s="331"/>
      <c r="H77" s="99"/>
      <c r="I77" s="99"/>
    </row>
    <row r="78" spans="2:15">
      <c r="C78" s="57"/>
      <c r="D78" s="259"/>
      <c r="E78" s="259"/>
      <c r="F78" s="362"/>
    </row>
    <row r="79" spans="2:15">
      <c r="C79" s="57"/>
      <c r="D79" s="259"/>
      <c r="E79" s="259"/>
      <c r="F79" s="99"/>
    </row>
    <row r="80" spans="2:15">
      <c r="C80" s="57"/>
      <c r="D80" s="331"/>
      <c r="E80" s="99"/>
      <c r="F80" s="99"/>
    </row>
    <row r="81" spans="3:10">
      <c r="C81" s="331"/>
      <c r="D81" s="377"/>
      <c r="E81" s="259"/>
      <c r="F81" s="99"/>
      <c r="H81" s="187"/>
    </row>
    <row r="82" spans="3:10">
      <c r="C82" s="362"/>
      <c r="D82" s="128"/>
      <c r="E82" s="259"/>
      <c r="F82" s="99"/>
      <c r="G82" s="99"/>
      <c r="H82" s="99"/>
      <c r="I82" s="99"/>
    </row>
    <row r="83" spans="3:10">
      <c r="C83" s="57"/>
      <c r="D83" s="331"/>
      <c r="E83" s="259"/>
      <c r="F83" s="266"/>
      <c r="G83" s="99"/>
      <c r="H83" s="99"/>
      <c r="I83" s="99"/>
    </row>
    <row r="84" spans="3:10">
      <c r="C84" s="57"/>
      <c r="D84" s="331"/>
      <c r="E84" s="259"/>
      <c r="F84" s="269"/>
      <c r="G84" s="99"/>
      <c r="H84" s="99"/>
      <c r="I84" s="99"/>
    </row>
    <row r="85" spans="3:10">
      <c r="C85" s="57"/>
      <c r="D85" s="362"/>
      <c r="E85" s="259"/>
      <c r="F85" s="99"/>
      <c r="G85" s="99"/>
      <c r="H85" s="99"/>
      <c r="I85" s="99"/>
    </row>
    <row r="86" spans="3:10">
      <c r="C86" s="57"/>
      <c r="D86" s="259"/>
      <c r="E86" s="259"/>
      <c r="F86" s="99"/>
      <c r="G86" s="99"/>
      <c r="H86" s="99"/>
      <c r="I86" s="99"/>
    </row>
    <row r="87" spans="3:10">
      <c r="C87" s="331"/>
      <c r="D87" s="268"/>
      <c r="E87" s="259"/>
      <c r="F87" s="99"/>
      <c r="G87" s="99"/>
      <c r="H87" s="99"/>
      <c r="I87" s="99"/>
    </row>
    <row r="88" spans="3:10">
      <c r="C88" s="362"/>
      <c r="D88" s="377"/>
      <c r="E88" s="259"/>
      <c r="F88" s="99"/>
      <c r="G88" s="99"/>
      <c r="H88" s="99"/>
      <c r="I88" s="99"/>
      <c r="J88" s="355"/>
    </row>
    <row r="89" spans="3:10">
      <c r="C89" s="57"/>
      <c r="D89" s="331"/>
      <c r="E89" s="99"/>
      <c r="F89" s="99"/>
      <c r="H89" s="99"/>
      <c r="I89" s="331"/>
      <c r="J89" s="270"/>
    </row>
    <row r="90" spans="3:10">
      <c r="C90" s="57"/>
      <c r="D90" s="259"/>
      <c r="E90" s="259"/>
      <c r="F90" s="99"/>
      <c r="H90" s="268"/>
      <c r="I90" s="259"/>
      <c r="J90" s="128"/>
    </row>
    <row r="91" spans="3:10">
      <c r="C91" s="57"/>
      <c r="D91" s="259"/>
      <c r="E91" s="268"/>
      <c r="F91" s="99"/>
      <c r="G91" s="362"/>
      <c r="H91" s="99"/>
      <c r="I91" s="362"/>
    </row>
    <row r="92" spans="3:10">
      <c r="C92" s="57"/>
      <c r="D92" s="43"/>
      <c r="G92" s="99"/>
      <c r="H92" s="99"/>
      <c r="I92" s="99"/>
    </row>
    <row r="93" spans="3:10">
      <c r="C93" s="331"/>
      <c r="D93" s="187"/>
      <c r="G93" s="99"/>
      <c r="H93" s="99"/>
      <c r="I93" s="99"/>
    </row>
    <row r="94" spans="3:10">
      <c r="C94" s="362"/>
      <c r="D94" s="268"/>
      <c r="E94" s="259"/>
      <c r="F94" s="99"/>
      <c r="G94" s="99"/>
      <c r="H94" s="99"/>
      <c r="I94" s="99"/>
    </row>
    <row r="95" spans="3:10">
      <c r="C95" s="57"/>
      <c r="D95" s="259"/>
      <c r="E95" s="259"/>
      <c r="F95" s="269"/>
      <c r="G95" s="99"/>
      <c r="H95" s="99"/>
      <c r="I95" s="99"/>
    </row>
    <row r="96" spans="3:10">
      <c r="C96" s="57"/>
      <c r="D96" s="331"/>
      <c r="E96" s="99"/>
      <c r="F96" s="266"/>
      <c r="G96" s="99"/>
      <c r="H96" s="99"/>
      <c r="I96" s="99"/>
    </row>
    <row r="97" spans="2:13">
      <c r="C97" s="57"/>
      <c r="D97" s="362"/>
      <c r="E97" s="99"/>
      <c r="F97" s="99"/>
      <c r="G97" s="99"/>
      <c r="H97" s="99"/>
      <c r="I97" s="99"/>
    </row>
    <row r="98" spans="2:13">
      <c r="C98" s="57"/>
      <c r="D98" s="362"/>
      <c r="E98" s="259"/>
      <c r="F98" s="99"/>
      <c r="G98" s="331"/>
      <c r="H98" s="99"/>
      <c r="I98" s="99"/>
      <c r="J98" s="270"/>
      <c r="K98" s="57"/>
      <c r="L98" s="328"/>
      <c r="M98" s="99"/>
    </row>
    <row r="99" spans="2:13">
      <c r="C99" s="331"/>
      <c r="D99" s="268"/>
      <c r="E99" s="268"/>
      <c r="F99" s="99"/>
      <c r="G99" s="259"/>
      <c r="H99" s="271"/>
      <c r="I99" s="99"/>
      <c r="J99" s="270"/>
      <c r="K99" s="57"/>
      <c r="L99" s="328"/>
      <c r="M99" s="99"/>
    </row>
    <row r="100" spans="2:13">
      <c r="C100" s="362"/>
      <c r="D100" s="377"/>
      <c r="E100" s="259"/>
      <c r="F100" s="99"/>
      <c r="G100" s="259"/>
      <c r="H100" s="99"/>
      <c r="I100" s="99"/>
      <c r="J100" s="270"/>
      <c r="K100" s="57"/>
      <c r="L100" s="328"/>
      <c r="M100" s="99"/>
    </row>
    <row r="101" spans="2:13">
      <c r="C101" s="57"/>
      <c r="D101" s="259"/>
      <c r="E101" s="331"/>
      <c r="F101" s="331"/>
      <c r="I101" s="99"/>
      <c r="J101" s="270"/>
      <c r="K101" s="57"/>
      <c r="L101" s="328"/>
      <c r="M101" s="99"/>
    </row>
    <row r="102" spans="2:13">
      <c r="B102" s="306"/>
      <c r="C102" s="57"/>
      <c r="D102" s="259"/>
      <c r="E102" s="259"/>
      <c r="F102" s="362"/>
      <c r="I102" s="99"/>
      <c r="J102" s="270"/>
      <c r="K102" s="57"/>
      <c r="L102" s="328"/>
      <c r="M102" s="99"/>
    </row>
    <row r="103" spans="2:13">
      <c r="C103" s="57"/>
      <c r="D103" s="259"/>
      <c r="E103" s="259"/>
      <c r="F103" s="99"/>
      <c r="I103" s="99"/>
      <c r="J103" s="270"/>
      <c r="K103" s="57"/>
      <c r="L103" s="328"/>
      <c r="M103" s="99"/>
    </row>
    <row r="104" spans="2:13">
      <c r="C104" s="57"/>
      <c r="D104" s="331"/>
      <c r="E104" s="99"/>
      <c r="F104" s="99"/>
      <c r="I104" s="99"/>
      <c r="J104" s="270"/>
      <c r="K104" s="57"/>
      <c r="L104" s="328"/>
      <c r="M104" s="99"/>
    </row>
    <row r="105" spans="2:13">
      <c r="B105" s="306"/>
      <c r="C105" s="331"/>
      <c r="D105" s="377"/>
      <c r="E105" s="259"/>
      <c r="F105" s="99"/>
      <c r="G105" s="99"/>
      <c r="J105" s="270"/>
      <c r="K105" s="57"/>
      <c r="L105" s="328"/>
      <c r="M105" s="99"/>
    </row>
    <row r="106" spans="2:13">
      <c r="B106" s="306"/>
      <c r="C106" s="362"/>
      <c r="D106" s="268"/>
      <c r="E106" s="259"/>
      <c r="F106" s="99"/>
      <c r="H106" s="57"/>
      <c r="J106" s="270"/>
      <c r="K106" s="57"/>
    </row>
    <row r="107" spans="2:13">
      <c r="C107" s="57"/>
      <c r="D107" s="331"/>
      <c r="E107" s="259"/>
      <c r="F107" s="266"/>
      <c r="J107" s="270"/>
      <c r="K107" s="57"/>
    </row>
    <row r="108" spans="2:13">
      <c r="B108" s="306"/>
      <c r="C108" s="57"/>
      <c r="D108" s="331"/>
      <c r="E108" s="259"/>
      <c r="F108" s="271"/>
      <c r="J108" s="270"/>
      <c r="K108" s="57"/>
    </row>
    <row r="109" spans="2:13">
      <c r="B109" s="306"/>
      <c r="C109" s="57"/>
      <c r="D109" s="362"/>
      <c r="E109" s="259"/>
      <c r="F109" s="272"/>
      <c r="J109" s="270"/>
      <c r="K109" s="57"/>
    </row>
    <row r="110" spans="2:13">
      <c r="C110" s="57"/>
      <c r="D110" s="259"/>
      <c r="E110" s="259"/>
      <c r="F110" s="99"/>
      <c r="J110" s="270"/>
      <c r="K110" s="57"/>
    </row>
    <row r="111" spans="2:13">
      <c r="C111" s="331"/>
      <c r="D111" s="268"/>
      <c r="E111" s="259"/>
      <c r="F111" s="99"/>
      <c r="J111" s="270"/>
      <c r="K111" s="57"/>
    </row>
    <row r="112" spans="2:13">
      <c r="C112" s="362"/>
      <c r="D112" s="377"/>
      <c r="E112" s="259"/>
      <c r="F112" s="99"/>
      <c r="J112" s="270"/>
      <c r="K112" s="57"/>
    </row>
    <row r="113" spans="2:11">
      <c r="B113" s="368"/>
      <c r="C113" s="57"/>
      <c r="D113" s="331"/>
      <c r="E113" s="99"/>
      <c r="F113" s="99"/>
      <c r="G113" s="328"/>
      <c r="J113" s="270"/>
      <c r="K113" s="57"/>
    </row>
    <row r="114" spans="2:11">
      <c r="D114" s="43"/>
    </row>
  </sheetData>
  <sheetProtection selectLockedCells="1" selectUnlockedCells="1"/>
  <phoneticPr fontId="49" type="noConversion"/>
  <pageMargins left="0.35416666666666669" right="0.35416666666666669" top="0.78749999999999998" bottom="0.78749999999999998" header="0.51180555555555551" footer="0.51180555555555551"/>
  <pageSetup paperSize="9" scale="34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55"/>
  <sheetViews>
    <sheetView topLeftCell="I4" zoomScale="70" zoomScaleNormal="70" zoomScaleSheetLayoutView="70" workbookViewId="0">
      <selection activeCell="Z16" sqref="Z16"/>
    </sheetView>
  </sheetViews>
  <sheetFormatPr defaultColWidth="7.6640625" defaultRowHeight="15.75"/>
  <cols>
    <col min="1" max="1" width="0" style="65" hidden="1" customWidth="1"/>
    <col min="2" max="2" width="8.109375" style="65" customWidth="1"/>
    <col min="3" max="3" width="6.6640625" style="65" customWidth="1"/>
    <col min="4" max="4" width="8.6640625" style="65" customWidth="1"/>
    <col min="5" max="5" width="13.33203125" style="65" customWidth="1"/>
    <col min="6" max="6" width="4.33203125" style="65" customWidth="1"/>
    <col min="7" max="7" width="13.5546875" style="65" customWidth="1"/>
    <col min="8" max="8" width="21.6640625" style="65" customWidth="1"/>
    <col min="9" max="9" width="2.6640625" style="65" customWidth="1"/>
    <col min="10" max="10" width="21.6640625" style="65" customWidth="1"/>
    <col min="11" max="14" width="7.6640625" style="197"/>
    <col min="15" max="15" width="22" style="51" customWidth="1"/>
    <col min="16" max="16" width="7.6640625" style="51"/>
    <col min="17" max="17" width="7.6640625" style="65"/>
    <col min="18" max="18" width="12.6640625" style="65" customWidth="1"/>
    <col min="19" max="24" width="7.6640625" style="65"/>
    <col min="25" max="25" width="13.109375" style="65" customWidth="1"/>
    <col min="26" max="16384" width="7.6640625" style="65"/>
  </cols>
  <sheetData>
    <row r="1" spans="1:29" ht="23.25">
      <c r="B1" s="199" t="s">
        <v>225</v>
      </c>
      <c r="C1" s="200"/>
      <c r="D1" s="274"/>
      <c r="E1" s="275"/>
      <c r="F1" s="200"/>
      <c r="G1" s="197"/>
      <c r="H1" s="198"/>
    </row>
    <row r="2" spans="1:29" ht="24">
      <c r="B2" s="199" t="s">
        <v>331</v>
      </c>
      <c r="C2" s="200"/>
      <c r="D2" s="274"/>
      <c r="E2" s="275"/>
      <c r="F2" s="200"/>
      <c r="G2" s="197"/>
      <c r="H2" s="198"/>
    </row>
    <row r="3" spans="1:29" ht="18.75">
      <c r="B3" s="200"/>
      <c r="C3" s="276"/>
      <c r="D3" s="200"/>
      <c r="E3" s="200"/>
      <c r="F3" s="277"/>
      <c r="G3" s="202"/>
      <c r="H3" s="203"/>
      <c r="I3" s="203"/>
      <c r="J3" s="203"/>
      <c r="K3" s="197" t="s">
        <v>325</v>
      </c>
      <c r="L3" s="197" t="s">
        <v>326</v>
      </c>
      <c r="M3" s="197" t="s">
        <v>326</v>
      </c>
      <c r="N3" s="197" t="s">
        <v>325</v>
      </c>
    </row>
    <row r="4" spans="1:29">
      <c r="A4" s="205" t="s">
        <v>83</v>
      </c>
      <c r="B4" s="278" t="s">
        <v>157</v>
      </c>
      <c r="C4" s="632" t="s">
        <v>158</v>
      </c>
      <c r="D4" s="633"/>
      <c r="E4" s="637" t="s">
        <v>159</v>
      </c>
      <c r="F4" s="638"/>
      <c r="G4" s="639"/>
      <c r="H4" s="47" t="s">
        <v>160</v>
      </c>
      <c r="I4" s="209"/>
      <c r="J4" s="47" t="s">
        <v>161</v>
      </c>
      <c r="K4" s="46"/>
      <c r="L4" s="46"/>
      <c r="M4" s="46"/>
      <c r="N4" s="46"/>
    </row>
    <row r="5" spans="1:29" ht="16.5" customHeight="1" thickBot="1">
      <c r="A5" s="48" t="s">
        <v>162</v>
      </c>
      <c r="B5" s="280" t="s">
        <v>332</v>
      </c>
      <c r="C5" s="630" t="s">
        <v>156</v>
      </c>
      <c r="D5" s="631"/>
      <c r="E5" s="634" t="s">
        <v>333</v>
      </c>
      <c r="F5" s="635"/>
      <c r="G5" s="636"/>
      <c r="H5" s="49" t="s">
        <v>47</v>
      </c>
      <c r="I5" s="48"/>
      <c r="J5" s="49" t="s">
        <v>47</v>
      </c>
      <c r="K5" s="46"/>
      <c r="L5" s="46"/>
      <c r="M5" s="46"/>
      <c r="N5" s="46"/>
    </row>
    <row r="6" spans="1:29" ht="20.100000000000001" customHeight="1" thickTop="1" thickBot="1">
      <c r="A6" s="52" t="e">
        <f>IF(#REF!&lt;&gt;#REF!,#REF!,"")</f>
        <v>#REF!</v>
      </c>
      <c r="B6" s="59">
        <v>1</v>
      </c>
      <c r="C6" s="60" t="s">
        <v>166</v>
      </c>
      <c r="D6" s="61">
        <v>1</v>
      </c>
      <c r="E6" s="62" t="s">
        <v>61</v>
      </c>
      <c r="F6" s="62" t="s">
        <v>167</v>
      </c>
      <c r="G6" s="63" t="s">
        <v>102</v>
      </c>
      <c r="H6" s="64" t="str">
        <f>VLOOKUP(E6,MD!$C$6:$K$102,3,FALSE)</f>
        <v>Alps LC</v>
      </c>
      <c r="I6" s="53" t="s">
        <v>167</v>
      </c>
      <c r="J6" s="542" t="s">
        <v>965</v>
      </c>
      <c r="K6" s="46">
        <v>2</v>
      </c>
      <c r="L6" s="46">
        <v>42</v>
      </c>
      <c r="M6" s="46">
        <v>0</v>
      </c>
      <c r="N6" s="46">
        <v>0</v>
      </c>
      <c r="O6" s="51" t="s">
        <v>980</v>
      </c>
      <c r="P6" s="51" t="s">
        <v>166</v>
      </c>
      <c r="Q6" s="50" t="s">
        <v>163</v>
      </c>
      <c r="R6" s="51" t="s">
        <v>46</v>
      </c>
      <c r="S6" s="51" t="s">
        <v>164</v>
      </c>
      <c r="T6" s="51" t="s">
        <v>286</v>
      </c>
      <c r="U6" s="51" t="s">
        <v>165</v>
      </c>
      <c r="V6" s="51" t="s">
        <v>52</v>
      </c>
      <c r="W6" s="65" t="s">
        <v>172</v>
      </c>
      <c r="X6" s="50" t="s">
        <v>163</v>
      </c>
      <c r="Y6" s="51" t="s">
        <v>46</v>
      </c>
      <c r="Z6" s="51" t="s">
        <v>164</v>
      </c>
      <c r="AA6" s="51" t="s">
        <v>286</v>
      </c>
      <c r="AB6" s="51" t="s">
        <v>165</v>
      </c>
      <c r="AC6" s="51" t="s">
        <v>52</v>
      </c>
    </row>
    <row r="7" spans="1:29" ht="20.100000000000001" customHeight="1">
      <c r="A7" s="54" t="e">
        <f>IF(#REF!&lt;&gt;#REF!,#REF!,"")</f>
        <v>#REF!</v>
      </c>
      <c r="B7" s="66">
        <v>2</v>
      </c>
      <c r="C7" s="67" t="s">
        <v>166</v>
      </c>
      <c r="D7" s="68">
        <v>2</v>
      </c>
      <c r="E7" s="69" t="s">
        <v>75</v>
      </c>
      <c r="F7" s="69" t="s">
        <v>167</v>
      </c>
      <c r="G7" s="70" t="s">
        <v>94</v>
      </c>
      <c r="H7" s="64" t="str">
        <f>VLOOKUP(E7,MD!$C$6:$K$102,3,FALSE)</f>
        <v>YAMM</v>
      </c>
      <c r="I7" s="53" t="s">
        <v>167</v>
      </c>
      <c r="J7" s="53" t="str">
        <f>VLOOKUP(G7,MD!$C$6:$K$102,3,FALSE)</f>
        <v>Alps-ZJ</v>
      </c>
      <c r="K7" s="46">
        <v>0</v>
      </c>
      <c r="L7" s="46">
        <v>0</v>
      </c>
      <c r="M7" s="46">
        <v>42</v>
      </c>
      <c r="N7" s="46">
        <v>2</v>
      </c>
      <c r="O7" s="51" t="s">
        <v>981</v>
      </c>
      <c r="Q7" s="209">
        <v>1</v>
      </c>
      <c r="R7" s="220" t="s">
        <v>984</v>
      </c>
      <c r="S7" s="220">
        <v>3</v>
      </c>
      <c r="T7" s="220">
        <v>0</v>
      </c>
      <c r="U7" s="220">
        <v>0</v>
      </c>
      <c r="V7" s="220">
        <f>S7*3+T7*1+U7*0</f>
        <v>9</v>
      </c>
      <c r="X7" s="209">
        <v>1</v>
      </c>
      <c r="Y7" s="531" t="s">
        <v>992</v>
      </c>
      <c r="Z7" s="220">
        <v>2</v>
      </c>
      <c r="AA7" s="220">
        <v>1</v>
      </c>
      <c r="AB7" s="220">
        <v>0</v>
      </c>
      <c r="AC7" s="220">
        <f>Z7*3+AA7*1+AB7*0</f>
        <v>7</v>
      </c>
    </row>
    <row r="8" spans="1:29" ht="20.100000000000001" customHeight="1">
      <c r="A8" s="54" t="e">
        <f>IF(#REF!&lt;&gt;#REF!,#REF!,"")</f>
        <v>#REF!</v>
      </c>
      <c r="B8" s="59">
        <v>3</v>
      </c>
      <c r="C8" s="67" t="s">
        <v>166</v>
      </c>
      <c r="D8" s="68">
        <v>3</v>
      </c>
      <c r="E8" s="69" t="s">
        <v>61</v>
      </c>
      <c r="F8" s="69" t="s">
        <v>167</v>
      </c>
      <c r="G8" s="70" t="s">
        <v>94</v>
      </c>
      <c r="H8" s="64" t="str">
        <f>VLOOKUP(E8,MD!$C$6:$K$102,3,FALSE)</f>
        <v>Alps LC</v>
      </c>
      <c r="I8" s="53" t="s">
        <v>167</v>
      </c>
      <c r="J8" s="53" t="str">
        <f>VLOOKUP(G8,MD!$C$6:$K$102,3,FALSE)</f>
        <v>Alps-ZJ</v>
      </c>
      <c r="K8" s="46">
        <v>2</v>
      </c>
      <c r="L8" s="46">
        <f>21+21</f>
        <v>42</v>
      </c>
      <c r="M8" s="46">
        <f>13+11</f>
        <v>24</v>
      </c>
      <c r="N8" s="46">
        <v>0</v>
      </c>
      <c r="O8" s="51" t="s">
        <v>983</v>
      </c>
      <c r="Q8" s="209">
        <v>2</v>
      </c>
      <c r="R8" s="220" t="s">
        <v>985</v>
      </c>
      <c r="S8" s="220">
        <v>2</v>
      </c>
      <c r="T8" s="220">
        <v>0</v>
      </c>
      <c r="U8" s="220">
        <v>1</v>
      </c>
      <c r="V8" s="220">
        <f>S8*3+T8*1+U8*0</f>
        <v>6</v>
      </c>
      <c r="X8" s="209">
        <v>2</v>
      </c>
      <c r="Y8" s="220" t="s">
        <v>993</v>
      </c>
      <c r="Z8" s="220">
        <v>2</v>
      </c>
      <c r="AA8" s="220">
        <v>1</v>
      </c>
      <c r="AB8" s="220">
        <v>0</v>
      </c>
      <c r="AC8" s="220">
        <f>Z8*3+AA8*1+AB8*0</f>
        <v>7</v>
      </c>
    </row>
    <row r="9" spans="1:29" ht="20.100000000000001" customHeight="1">
      <c r="A9" s="54" t="e">
        <f>IF(#REF!&lt;&gt;#REF!,#REF!,"")</f>
        <v>#REF!</v>
      </c>
      <c r="B9" s="66">
        <v>4</v>
      </c>
      <c r="C9" s="67" t="s">
        <v>166</v>
      </c>
      <c r="D9" s="68">
        <v>4</v>
      </c>
      <c r="E9" s="69" t="s">
        <v>75</v>
      </c>
      <c r="F9" s="69" t="s">
        <v>167</v>
      </c>
      <c r="G9" s="70" t="s">
        <v>102</v>
      </c>
      <c r="H9" s="64" t="str">
        <f>VLOOKUP(E9,MD!$C$6:$K$102,3,FALSE)</f>
        <v>YAMM</v>
      </c>
      <c r="I9" s="53" t="s">
        <v>167</v>
      </c>
      <c r="J9" s="542" t="s">
        <v>965</v>
      </c>
      <c r="K9" s="46" t="s">
        <v>982</v>
      </c>
      <c r="L9" s="46" t="s">
        <v>781</v>
      </c>
      <c r="M9" s="46" t="s">
        <v>781</v>
      </c>
      <c r="N9" s="46" t="s">
        <v>781</v>
      </c>
      <c r="O9" s="51" t="s">
        <v>788</v>
      </c>
      <c r="Q9" s="535"/>
      <c r="R9" s="536" t="s">
        <v>986</v>
      </c>
      <c r="S9" s="536"/>
      <c r="T9" s="536"/>
      <c r="U9" s="536"/>
      <c r="V9" s="536">
        <f>S9*3+T9*1+U9*0</f>
        <v>0</v>
      </c>
      <c r="X9" s="209">
        <v>3</v>
      </c>
      <c r="Y9" s="220" t="s">
        <v>994</v>
      </c>
      <c r="Z9" s="220">
        <v>1</v>
      </c>
      <c r="AA9" s="220">
        <v>0</v>
      </c>
      <c r="AB9" s="220">
        <v>2</v>
      </c>
      <c r="AC9" s="220">
        <f>Z9*3+AA9*1+AB9*0</f>
        <v>3</v>
      </c>
    </row>
    <row r="10" spans="1:29" ht="20.100000000000001" customHeight="1">
      <c r="A10" s="54" t="e">
        <f>IF(#REF!&lt;&gt;#REF!,#REF!,"")</f>
        <v>#REF!</v>
      </c>
      <c r="B10" s="59">
        <v>5</v>
      </c>
      <c r="C10" s="67" t="s">
        <v>166</v>
      </c>
      <c r="D10" s="68">
        <v>5</v>
      </c>
      <c r="E10" s="69" t="s">
        <v>94</v>
      </c>
      <c r="F10" s="69" t="s">
        <v>167</v>
      </c>
      <c r="G10" s="70" t="s">
        <v>102</v>
      </c>
      <c r="H10" s="64" t="str">
        <f>VLOOKUP(E10,MD!$C$6:$K$102,3,FALSE)</f>
        <v>Alps-ZJ</v>
      </c>
      <c r="I10" s="53" t="s">
        <v>167</v>
      </c>
      <c r="J10" s="542" t="s">
        <v>965</v>
      </c>
      <c r="K10" s="46">
        <v>2</v>
      </c>
      <c r="L10" s="46">
        <v>42</v>
      </c>
      <c r="M10" s="46">
        <v>0</v>
      </c>
      <c r="N10" s="46">
        <v>0</v>
      </c>
      <c r="O10" s="51" t="s">
        <v>980</v>
      </c>
      <c r="Q10" s="535"/>
      <c r="R10" s="536" t="s">
        <v>965</v>
      </c>
      <c r="S10" s="536"/>
      <c r="T10" s="536"/>
      <c r="U10" s="536"/>
      <c r="V10" s="536">
        <f>S10*3+T10*1+U10*0</f>
        <v>0</v>
      </c>
      <c r="X10" s="209">
        <v>4</v>
      </c>
      <c r="Y10" s="220" t="s">
        <v>813</v>
      </c>
      <c r="Z10" s="220">
        <v>0</v>
      </c>
      <c r="AA10" s="220">
        <v>0</v>
      </c>
      <c r="AB10" s="220">
        <v>3</v>
      </c>
      <c r="AC10" s="220">
        <f>Z10*3+AA10*1+AB10*0</f>
        <v>0</v>
      </c>
    </row>
    <row r="11" spans="1:29" ht="20.100000000000001" customHeight="1">
      <c r="A11" s="54"/>
      <c r="B11" s="66">
        <v>6</v>
      </c>
      <c r="C11" s="71" t="s">
        <v>166</v>
      </c>
      <c r="D11" s="72">
        <v>6</v>
      </c>
      <c r="E11" s="73" t="s">
        <v>61</v>
      </c>
      <c r="F11" s="73" t="s">
        <v>167</v>
      </c>
      <c r="G11" s="74" t="s">
        <v>75</v>
      </c>
      <c r="H11" s="64" t="str">
        <f>VLOOKUP(E11,MD!$C$6:$K$102,3,FALSE)</f>
        <v>Alps LC</v>
      </c>
      <c r="I11" s="53" t="s">
        <v>167</v>
      </c>
      <c r="J11" s="53" t="str">
        <f>VLOOKUP(G11,MD!$C$6:$K$102,3,FALSE)</f>
        <v>YAMM</v>
      </c>
      <c r="K11" s="46">
        <v>2</v>
      </c>
      <c r="L11" s="46">
        <v>42</v>
      </c>
      <c r="M11" s="46">
        <v>0</v>
      </c>
      <c r="N11" s="46">
        <v>0</v>
      </c>
      <c r="O11" s="51" t="s">
        <v>981</v>
      </c>
    </row>
    <row r="12" spans="1:29" ht="20.100000000000001" customHeight="1">
      <c r="A12" s="54"/>
      <c r="B12" s="75">
        <v>7</v>
      </c>
      <c r="C12" s="76" t="s">
        <v>172</v>
      </c>
      <c r="D12" s="61">
        <v>1</v>
      </c>
      <c r="E12" s="62" t="s">
        <v>62</v>
      </c>
      <c r="F12" s="62" t="s">
        <v>167</v>
      </c>
      <c r="G12" s="63" t="s">
        <v>104</v>
      </c>
      <c r="H12" s="53" t="str">
        <f>VLOOKUP(E12,MD!$C$6:$K$102,3,FALSE)</f>
        <v>米奇與超大隻傑</v>
      </c>
      <c r="I12" s="53" t="s">
        <v>167</v>
      </c>
      <c r="J12" s="53" t="s">
        <v>814</v>
      </c>
      <c r="K12" s="46">
        <v>2</v>
      </c>
      <c r="L12" s="46">
        <f>21+21</f>
        <v>42</v>
      </c>
      <c r="M12" s="46">
        <f>13+9</f>
        <v>22</v>
      </c>
      <c r="N12" s="46">
        <v>0</v>
      </c>
      <c r="O12" s="51" t="s">
        <v>987</v>
      </c>
      <c r="Q12" s="50" t="s">
        <v>163</v>
      </c>
      <c r="R12" s="51" t="s">
        <v>46</v>
      </c>
      <c r="S12" s="51" t="s">
        <v>164</v>
      </c>
      <c r="T12" s="51" t="s">
        <v>286</v>
      </c>
      <c r="U12" s="51" t="s">
        <v>165</v>
      </c>
      <c r="V12" s="51" t="s">
        <v>52</v>
      </c>
      <c r="X12" s="50" t="s">
        <v>163</v>
      </c>
      <c r="Y12" s="51" t="s">
        <v>46</v>
      </c>
      <c r="Z12" s="51" t="s">
        <v>164</v>
      </c>
      <c r="AA12" s="51" t="s">
        <v>286</v>
      </c>
      <c r="AB12" s="51" t="s">
        <v>165</v>
      </c>
      <c r="AC12" s="51" t="s">
        <v>52</v>
      </c>
    </row>
    <row r="13" spans="1:29" ht="20.100000000000001" customHeight="1" thickTop="1" thickBot="1">
      <c r="A13" s="54"/>
      <c r="B13" s="77">
        <v>8</v>
      </c>
      <c r="C13" s="67" t="s">
        <v>172</v>
      </c>
      <c r="D13" s="68">
        <v>2</v>
      </c>
      <c r="E13" s="69" t="s">
        <v>74</v>
      </c>
      <c r="F13" s="69" t="s">
        <v>167</v>
      </c>
      <c r="G13" s="70" t="s">
        <v>95</v>
      </c>
      <c r="H13" s="53" t="str">
        <f>VLOOKUP(E13,MD!$C$6:$K$102,3,FALSE)</f>
        <v>SCAA K&amp;L</v>
      </c>
      <c r="I13" s="53" t="s">
        <v>167</v>
      </c>
      <c r="J13" s="53" t="str">
        <f>VLOOKUP(G13,MD!$C$6:$K$102,3,FALSE)</f>
        <v>WM</v>
      </c>
      <c r="K13" s="46">
        <v>2</v>
      </c>
      <c r="L13" s="46">
        <f>21+21</f>
        <v>42</v>
      </c>
      <c r="M13" s="46">
        <f>19+19</f>
        <v>38</v>
      </c>
      <c r="N13" s="46">
        <v>0</v>
      </c>
      <c r="O13" s="51" t="s">
        <v>988</v>
      </c>
      <c r="P13" s="51" t="s">
        <v>173</v>
      </c>
      <c r="Q13" s="209">
        <v>1</v>
      </c>
      <c r="R13" s="220" t="s">
        <v>915</v>
      </c>
      <c r="S13" s="220">
        <v>3</v>
      </c>
      <c r="T13" s="220">
        <v>0</v>
      </c>
      <c r="U13" s="220">
        <v>0</v>
      </c>
      <c r="V13" s="220">
        <f>S13*3+T13*1+U13*0</f>
        <v>9</v>
      </c>
      <c r="W13" s="65" t="s">
        <v>174</v>
      </c>
      <c r="X13" s="209">
        <v>1</v>
      </c>
      <c r="Y13" s="531" t="s">
        <v>1036</v>
      </c>
      <c r="Z13" s="220">
        <v>2</v>
      </c>
      <c r="AA13" s="220">
        <v>1</v>
      </c>
      <c r="AB13" s="220">
        <v>0</v>
      </c>
      <c r="AC13" s="220">
        <f>Z13*3+AA13*1+AB13*0</f>
        <v>7</v>
      </c>
    </row>
    <row r="14" spans="1:29" ht="20.100000000000001" customHeight="1" thickTop="1" thickBot="1">
      <c r="A14" s="54"/>
      <c r="B14" s="77">
        <v>9</v>
      </c>
      <c r="C14" s="67" t="s">
        <v>172</v>
      </c>
      <c r="D14" s="68">
        <v>3</v>
      </c>
      <c r="E14" s="69" t="s">
        <v>62</v>
      </c>
      <c r="F14" s="69" t="s">
        <v>167</v>
      </c>
      <c r="G14" s="69" t="s">
        <v>95</v>
      </c>
      <c r="H14" s="108" t="str">
        <f>VLOOKUP(E14,MD!$C$6:$K$102,3,FALSE)</f>
        <v>米奇與超大隻傑</v>
      </c>
      <c r="I14" s="53" t="s">
        <v>167</v>
      </c>
      <c r="J14" s="53" t="str">
        <f>VLOOKUP(G14,MD!$C$6:$K$102,3,FALSE)</f>
        <v>WM</v>
      </c>
      <c r="K14" s="46">
        <v>2</v>
      </c>
      <c r="L14" s="46">
        <f>21+21</f>
        <v>42</v>
      </c>
      <c r="M14" s="46">
        <f>17+14</f>
        <v>31</v>
      </c>
      <c r="N14" s="46">
        <v>0</v>
      </c>
      <c r="O14" s="51" t="s">
        <v>989</v>
      </c>
      <c r="Q14" s="209">
        <v>2</v>
      </c>
      <c r="R14" s="220" t="s">
        <v>916</v>
      </c>
      <c r="S14" s="220">
        <v>1</v>
      </c>
      <c r="T14" s="220">
        <v>1</v>
      </c>
      <c r="U14" s="220">
        <v>1</v>
      </c>
      <c r="V14" s="220">
        <f>S14*3+T14*1+U14*0</f>
        <v>4</v>
      </c>
      <c r="X14" s="209">
        <v>2</v>
      </c>
      <c r="Y14" s="220" t="s">
        <v>1037</v>
      </c>
      <c r="Z14" s="220">
        <v>2</v>
      </c>
      <c r="AA14" s="220">
        <v>1</v>
      </c>
      <c r="AB14" s="220">
        <v>0</v>
      </c>
      <c r="AC14" s="220">
        <f>Z14*3+AA14*1+AB14*0</f>
        <v>7</v>
      </c>
    </row>
    <row r="15" spans="1:29" ht="20.100000000000001" customHeight="1" thickTop="1" thickBot="1">
      <c r="A15" s="54"/>
      <c r="B15" s="77">
        <v>10</v>
      </c>
      <c r="C15" s="67" t="s">
        <v>172</v>
      </c>
      <c r="D15" s="68">
        <v>4</v>
      </c>
      <c r="E15" s="69" t="s">
        <v>74</v>
      </c>
      <c r="F15" s="69" t="s">
        <v>167</v>
      </c>
      <c r="G15" s="70" t="s">
        <v>104</v>
      </c>
      <c r="H15" s="53" t="str">
        <f>VLOOKUP(E15,MD!$C$6:$K$102,3,FALSE)</f>
        <v>SCAA K&amp;L</v>
      </c>
      <c r="I15" s="53" t="s">
        <v>167</v>
      </c>
      <c r="J15" s="53" t="s">
        <v>814</v>
      </c>
      <c r="K15" s="46">
        <v>2</v>
      </c>
      <c r="L15" s="46">
        <f>21+21</f>
        <v>42</v>
      </c>
      <c r="M15" s="46">
        <f>4+12</f>
        <v>16</v>
      </c>
      <c r="N15" s="46">
        <v>0</v>
      </c>
      <c r="Q15" s="209">
        <v>3</v>
      </c>
      <c r="R15" s="220" t="s">
        <v>816</v>
      </c>
      <c r="S15" s="220">
        <v>1</v>
      </c>
      <c r="T15" s="220">
        <v>1</v>
      </c>
      <c r="U15" s="220">
        <v>1</v>
      </c>
      <c r="V15" s="220">
        <f>S15*3+T15*1+U15*0</f>
        <v>4</v>
      </c>
      <c r="X15" s="209">
        <v>3</v>
      </c>
      <c r="Y15" s="531" t="s">
        <v>1038</v>
      </c>
      <c r="Z15" s="220">
        <v>1</v>
      </c>
      <c r="AA15" s="220">
        <v>0</v>
      </c>
      <c r="AB15" s="220">
        <v>2</v>
      </c>
      <c r="AC15" s="220">
        <f>Z15*3+AA15*1+AB15*0</f>
        <v>3</v>
      </c>
    </row>
    <row r="16" spans="1:29" ht="20.100000000000001" customHeight="1">
      <c r="A16" s="54"/>
      <c r="B16" s="75">
        <v>11</v>
      </c>
      <c r="C16" s="67" t="s">
        <v>172</v>
      </c>
      <c r="D16" s="68">
        <v>5</v>
      </c>
      <c r="E16" s="69" t="s">
        <v>95</v>
      </c>
      <c r="F16" s="69" t="s">
        <v>167</v>
      </c>
      <c r="G16" s="70" t="s">
        <v>104</v>
      </c>
      <c r="H16" s="53" t="str">
        <f>VLOOKUP(E16,MD!$C$6:$K$102,3,FALSE)</f>
        <v>WM</v>
      </c>
      <c r="I16" s="53" t="s">
        <v>167</v>
      </c>
      <c r="J16" s="53" t="s">
        <v>814</v>
      </c>
      <c r="K16" s="46">
        <v>2</v>
      </c>
      <c r="L16" s="46">
        <f>21+21</f>
        <v>42</v>
      </c>
      <c r="M16" s="46">
        <f>17+16</f>
        <v>33</v>
      </c>
      <c r="N16" s="46">
        <v>0</v>
      </c>
      <c r="O16" s="51" t="s">
        <v>990</v>
      </c>
      <c r="Q16" s="535"/>
      <c r="R16" s="536" t="s">
        <v>914</v>
      </c>
      <c r="S16" s="536"/>
      <c r="T16" s="536"/>
      <c r="U16" s="536"/>
      <c r="V16" s="536"/>
      <c r="X16" s="535"/>
      <c r="Y16" s="543" t="s">
        <v>1027</v>
      </c>
      <c r="Z16" s="536"/>
      <c r="AA16" s="536"/>
      <c r="AB16" s="536"/>
      <c r="AC16" s="536"/>
    </row>
    <row r="17" spans="1:29" ht="20.100000000000001" customHeight="1">
      <c r="A17" s="54"/>
      <c r="B17" s="77">
        <v>12</v>
      </c>
      <c r="C17" s="71" t="s">
        <v>172</v>
      </c>
      <c r="D17" s="72">
        <v>6</v>
      </c>
      <c r="E17" s="73" t="s">
        <v>62</v>
      </c>
      <c r="F17" s="73" t="s">
        <v>167</v>
      </c>
      <c r="G17" s="74" t="s">
        <v>74</v>
      </c>
      <c r="H17" s="53" t="str">
        <f>VLOOKUP(E17,MD!$C$6:$K$102,3,FALSE)</f>
        <v>米奇與超大隻傑</v>
      </c>
      <c r="I17" s="53" t="s">
        <v>167</v>
      </c>
      <c r="J17" s="53" t="str">
        <f>VLOOKUP(G17,MD!$C$6:$K$102,3,FALSE)</f>
        <v>SCAA K&amp;L</v>
      </c>
      <c r="K17" s="46">
        <v>1</v>
      </c>
      <c r="L17" s="46">
        <f>13+21</f>
        <v>34</v>
      </c>
      <c r="M17" s="46">
        <f>21+12</f>
        <v>33</v>
      </c>
      <c r="N17" s="46">
        <v>1</v>
      </c>
      <c r="O17" s="51" t="s">
        <v>991</v>
      </c>
    </row>
    <row r="18" spans="1:29" ht="20.100000000000001" customHeight="1" thickTop="1" thickBot="1">
      <c r="A18" s="54"/>
      <c r="B18" s="75">
        <v>13</v>
      </c>
      <c r="C18" s="78" t="s">
        <v>173</v>
      </c>
      <c r="D18" s="79">
        <v>1</v>
      </c>
      <c r="E18" s="59" t="s">
        <v>64</v>
      </c>
      <c r="F18" s="62" t="s">
        <v>167</v>
      </c>
      <c r="G18" s="63" t="s">
        <v>105</v>
      </c>
      <c r="H18" s="53" t="str">
        <f>VLOOKUP(E18,MD!$C$6:$K$102,3,FALSE)</f>
        <v>ALPS - handshake</v>
      </c>
      <c r="I18" s="53" t="s">
        <v>167</v>
      </c>
      <c r="J18" s="53" t="s">
        <v>816</v>
      </c>
      <c r="K18" s="46">
        <v>2</v>
      </c>
      <c r="L18" s="46">
        <f>21+21</f>
        <v>42</v>
      </c>
      <c r="M18" s="46">
        <f>16+12</f>
        <v>28</v>
      </c>
      <c r="N18" s="46">
        <v>0</v>
      </c>
      <c r="O18" s="51" t="s">
        <v>908</v>
      </c>
      <c r="Q18" s="50" t="s">
        <v>163</v>
      </c>
      <c r="R18" s="51" t="s">
        <v>46</v>
      </c>
      <c r="S18" s="51" t="s">
        <v>164</v>
      </c>
      <c r="T18" s="51" t="s">
        <v>286</v>
      </c>
      <c r="U18" s="51" t="s">
        <v>165</v>
      </c>
      <c r="V18" s="51" t="s">
        <v>52</v>
      </c>
      <c r="X18" s="50" t="s">
        <v>163</v>
      </c>
      <c r="Y18" s="51" t="s">
        <v>46</v>
      </c>
      <c r="Z18" s="51" t="s">
        <v>164</v>
      </c>
      <c r="AA18" s="51" t="s">
        <v>286</v>
      </c>
      <c r="AB18" s="51" t="s">
        <v>165</v>
      </c>
      <c r="AC18" s="51" t="s">
        <v>52</v>
      </c>
    </row>
    <row r="19" spans="1:29" ht="20.100000000000001" customHeight="1" thickTop="1" thickBot="1">
      <c r="A19" s="54" t="e">
        <f>IF(#REF!&lt;&gt;#REF!,#REF!,"")</f>
        <v>#REF!</v>
      </c>
      <c r="B19" s="77">
        <v>14</v>
      </c>
      <c r="C19" s="67" t="s">
        <v>173</v>
      </c>
      <c r="D19" s="79">
        <v>2</v>
      </c>
      <c r="E19" s="80" t="s">
        <v>73</v>
      </c>
      <c r="F19" s="69" t="s">
        <v>167</v>
      </c>
      <c r="G19" s="70" t="s">
        <v>77</v>
      </c>
      <c r="H19" s="53" t="str">
        <f>VLOOKUP(E19,MD!$C$6:$K$102,3,FALSE)</f>
        <v>熱情的麻鷹</v>
      </c>
      <c r="I19" s="53" t="s">
        <v>167</v>
      </c>
      <c r="J19" s="53" t="str">
        <f>VLOOKUP(G19,MD!$C$6:$K$102,3,FALSE)</f>
        <v>Ben &amp; Enoch</v>
      </c>
      <c r="K19" s="46">
        <v>0</v>
      </c>
      <c r="L19" s="46">
        <v>0</v>
      </c>
      <c r="M19" s="46">
        <v>42</v>
      </c>
      <c r="N19" s="46">
        <v>2</v>
      </c>
      <c r="O19" s="51" t="s">
        <v>910</v>
      </c>
      <c r="P19" s="51" t="s">
        <v>168</v>
      </c>
      <c r="Q19" s="209">
        <v>1</v>
      </c>
      <c r="R19" s="220" t="s">
        <v>823</v>
      </c>
      <c r="S19" s="220">
        <v>3</v>
      </c>
      <c r="T19" s="220">
        <v>0</v>
      </c>
      <c r="U19" s="220">
        <v>0</v>
      </c>
      <c r="V19" s="220">
        <f>S19*3+T19*1+U19*0</f>
        <v>9</v>
      </c>
      <c r="W19" s="65" t="s">
        <v>169</v>
      </c>
      <c r="X19" s="209">
        <v>1</v>
      </c>
      <c r="Y19" s="220" t="s">
        <v>1032</v>
      </c>
      <c r="Z19" s="220">
        <v>3</v>
      </c>
      <c r="AA19" s="220">
        <v>0</v>
      </c>
      <c r="AB19" s="220">
        <v>0</v>
      </c>
      <c r="AC19" s="220">
        <f>Z19*3+AA19*1+AB19*0</f>
        <v>9</v>
      </c>
    </row>
    <row r="20" spans="1:29" ht="20.100000000000001" customHeight="1" thickTop="1" thickBot="1">
      <c r="A20" s="54" t="e">
        <f>IF(#REF!&lt;&gt;#REF!,#REF!,"")</f>
        <v>#REF!</v>
      </c>
      <c r="B20" s="77">
        <v>15</v>
      </c>
      <c r="C20" s="81" t="s">
        <v>173</v>
      </c>
      <c r="D20" s="68">
        <v>3</v>
      </c>
      <c r="E20" s="69" t="s">
        <v>64</v>
      </c>
      <c r="F20" s="69" t="s">
        <v>167</v>
      </c>
      <c r="G20" s="69" t="s">
        <v>77</v>
      </c>
      <c r="H20" s="108" t="str">
        <f>VLOOKUP(E20,MD!$C$6:$K$102,3,FALSE)</f>
        <v>ALPS - handshake</v>
      </c>
      <c r="I20" s="53" t="s">
        <v>167</v>
      </c>
      <c r="J20" s="53" t="str">
        <f>VLOOKUP(G20,MD!$C$6:$K$102,3,FALSE)</f>
        <v>Ben &amp; Enoch</v>
      </c>
      <c r="K20" s="46">
        <v>2</v>
      </c>
      <c r="L20" s="46">
        <f>21+21</f>
        <v>42</v>
      </c>
      <c r="M20" s="46">
        <f>13+14</f>
        <v>27</v>
      </c>
      <c r="N20" s="46">
        <v>0</v>
      </c>
      <c r="O20" s="51" t="s">
        <v>911</v>
      </c>
      <c r="Q20" s="209">
        <v>2</v>
      </c>
      <c r="R20" s="531" t="s">
        <v>824</v>
      </c>
      <c r="S20" s="220">
        <v>2</v>
      </c>
      <c r="T20" s="220">
        <v>0</v>
      </c>
      <c r="U20" s="220">
        <v>1</v>
      </c>
      <c r="V20" s="220">
        <f>S20*3+T20*1+U20*0</f>
        <v>6</v>
      </c>
      <c r="X20" s="209">
        <v>2</v>
      </c>
      <c r="Y20" s="220">
        <v>1987.5</v>
      </c>
      <c r="Z20" s="220">
        <v>2</v>
      </c>
      <c r="AA20" s="220">
        <v>0</v>
      </c>
      <c r="AB20" s="220">
        <v>1</v>
      </c>
      <c r="AC20" s="220">
        <f>Z20*3+AA20*1+AB20*0</f>
        <v>6</v>
      </c>
    </row>
    <row r="21" spans="1:29" ht="20.100000000000001" customHeight="1" thickTop="1" thickBot="1">
      <c r="A21" s="54" t="e">
        <f>IF(#REF!&lt;&gt;#REF!,#REF!,"")</f>
        <v>#REF!</v>
      </c>
      <c r="B21" s="77">
        <v>16</v>
      </c>
      <c r="C21" s="67" t="s">
        <v>173</v>
      </c>
      <c r="D21" s="79">
        <v>4</v>
      </c>
      <c r="E21" s="80" t="s">
        <v>73</v>
      </c>
      <c r="F21" s="69" t="s">
        <v>167</v>
      </c>
      <c r="G21" s="70" t="s">
        <v>105</v>
      </c>
      <c r="H21" s="53" t="str">
        <f>VLOOKUP(E21,MD!$C$6:$K$102,3,FALSE)</f>
        <v>熱情的麻鷹</v>
      </c>
      <c r="I21" s="53" t="s">
        <v>167</v>
      </c>
      <c r="J21" s="53" t="s">
        <v>816</v>
      </c>
      <c r="K21" s="46">
        <v>0</v>
      </c>
      <c r="L21" s="46">
        <v>0</v>
      </c>
      <c r="M21" s="46">
        <v>42</v>
      </c>
      <c r="N21" s="46">
        <v>2</v>
      </c>
      <c r="O21" s="51" t="s">
        <v>910</v>
      </c>
      <c r="Q21" s="209">
        <v>3</v>
      </c>
      <c r="R21" s="220" t="s">
        <v>825</v>
      </c>
      <c r="S21" s="220">
        <v>1</v>
      </c>
      <c r="T21" s="220">
        <v>0</v>
      </c>
      <c r="U21" s="220">
        <v>2</v>
      </c>
      <c r="V21" s="220">
        <f>S21*3+T21*1+U21*0</f>
        <v>3</v>
      </c>
      <c r="X21" s="209">
        <v>3</v>
      </c>
      <c r="Y21" s="531" t="s">
        <v>1033</v>
      </c>
      <c r="Z21" s="220">
        <v>1</v>
      </c>
      <c r="AA21" s="220">
        <v>0</v>
      </c>
      <c r="AB21" s="220">
        <v>2</v>
      </c>
      <c r="AC21" s="220">
        <f>Z21*3+AA21*1+AB21*0</f>
        <v>3</v>
      </c>
    </row>
    <row r="22" spans="1:29" ht="20.100000000000001" customHeight="1" thickTop="1" thickBot="1">
      <c r="A22" s="54" t="e">
        <f>IF(#REF!&lt;&gt;#REF!,#REF!,"")</f>
        <v>#REF!</v>
      </c>
      <c r="B22" s="75">
        <v>17</v>
      </c>
      <c r="C22" s="67" t="s">
        <v>173</v>
      </c>
      <c r="D22" s="79">
        <v>5</v>
      </c>
      <c r="E22" s="80" t="s">
        <v>77</v>
      </c>
      <c r="F22" s="69" t="s">
        <v>167</v>
      </c>
      <c r="G22" s="70" t="s">
        <v>105</v>
      </c>
      <c r="H22" s="53" t="str">
        <f>VLOOKUP(E22,MD!$C$6:$K$102,3,FALSE)</f>
        <v>Ben &amp; Enoch</v>
      </c>
      <c r="I22" s="53" t="s">
        <v>167</v>
      </c>
      <c r="J22" s="53" t="s">
        <v>816</v>
      </c>
      <c r="K22" s="46">
        <v>1</v>
      </c>
      <c r="L22" s="46">
        <f>21+12</f>
        <v>33</v>
      </c>
      <c r="M22" s="46">
        <f>10+21</f>
        <v>31</v>
      </c>
      <c r="N22" s="46">
        <v>1</v>
      </c>
      <c r="O22" s="51" t="s">
        <v>912</v>
      </c>
      <c r="Q22" s="535"/>
      <c r="R22" s="543" t="s">
        <v>826</v>
      </c>
      <c r="S22" s="536"/>
      <c r="T22" s="536"/>
      <c r="U22" s="536"/>
      <c r="V22" s="536"/>
      <c r="X22" s="535"/>
      <c r="Y22" s="536" t="s">
        <v>1028</v>
      </c>
      <c r="Z22" s="536"/>
      <c r="AA22" s="536"/>
      <c r="AB22" s="536"/>
      <c r="AC22" s="536"/>
    </row>
    <row r="23" spans="1:29" ht="20.100000000000001" customHeight="1" thickTop="1" thickBot="1">
      <c r="A23" s="54" t="e">
        <f>IF(#REF!&lt;&gt;#REF!,#REF!,"")</f>
        <v>#REF!</v>
      </c>
      <c r="B23" s="77">
        <v>18</v>
      </c>
      <c r="C23" s="71" t="s">
        <v>173</v>
      </c>
      <c r="D23" s="72">
        <v>6</v>
      </c>
      <c r="E23" s="82" t="s">
        <v>64</v>
      </c>
      <c r="F23" s="73" t="s">
        <v>167</v>
      </c>
      <c r="G23" s="74" t="s">
        <v>73</v>
      </c>
      <c r="H23" s="53" t="str">
        <f>VLOOKUP(E23,MD!$C$6:$K$102,3,FALSE)</f>
        <v>ALPS - handshake</v>
      </c>
      <c r="I23" s="53" t="s">
        <v>167</v>
      </c>
      <c r="J23" s="53" t="str">
        <f>VLOOKUP(G23,MD!$C$6:$K$102,3,FALSE)</f>
        <v>熱情的麻鷹</v>
      </c>
      <c r="K23" s="46">
        <v>2</v>
      </c>
      <c r="L23" s="46">
        <v>42</v>
      </c>
      <c r="M23" s="46">
        <v>0</v>
      </c>
      <c r="N23" s="46">
        <v>0</v>
      </c>
      <c r="O23" s="51" t="s">
        <v>913</v>
      </c>
    </row>
    <row r="24" spans="1:29" ht="20.100000000000001" customHeight="1" thickTop="1" thickBot="1">
      <c r="A24" s="54" t="e">
        <f>IF(#REF!&lt;&gt;#REF!,#REF!,"")</f>
        <v>#REF!</v>
      </c>
      <c r="B24" s="75">
        <v>19</v>
      </c>
      <c r="C24" s="83" t="s">
        <v>174</v>
      </c>
      <c r="D24" s="79">
        <v>1</v>
      </c>
      <c r="E24" s="80" t="s">
        <v>65</v>
      </c>
      <c r="F24" s="69" t="s">
        <v>167</v>
      </c>
      <c r="G24" s="70" t="s">
        <v>107</v>
      </c>
      <c r="H24" s="53" t="str">
        <f>VLOOKUP(E24,MD!$C$6:$K$102,3,FALSE)</f>
        <v>Pak &amp; Ivan</v>
      </c>
      <c r="I24" s="53" t="s">
        <v>167</v>
      </c>
      <c r="J24" s="542" t="s">
        <v>818</v>
      </c>
      <c r="K24" s="46">
        <v>2</v>
      </c>
      <c r="L24" s="46">
        <v>42</v>
      </c>
      <c r="M24" s="46">
        <v>0</v>
      </c>
      <c r="N24" s="46">
        <v>0</v>
      </c>
      <c r="O24" s="51" t="s">
        <v>1024</v>
      </c>
      <c r="P24" s="51" t="s">
        <v>170</v>
      </c>
      <c r="Q24" s="50" t="s">
        <v>163</v>
      </c>
      <c r="R24" s="51" t="s">
        <v>46</v>
      </c>
      <c r="S24" s="51" t="s">
        <v>164</v>
      </c>
      <c r="T24" s="51" t="s">
        <v>286</v>
      </c>
      <c r="U24" s="51" t="s">
        <v>165</v>
      </c>
      <c r="V24" s="51" t="s">
        <v>52</v>
      </c>
      <c r="W24" s="65" t="s">
        <v>171</v>
      </c>
      <c r="X24" s="50" t="s">
        <v>163</v>
      </c>
      <c r="Y24" s="51" t="s">
        <v>46</v>
      </c>
      <c r="Z24" s="51" t="s">
        <v>164</v>
      </c>
      <c r="AA24" s="51" t="s">
        <v>286</v>
      </c>
      <c r="AB24" s="51" t="s">
        <v>165</v>
      </c>
      <c r="AC24" s="51" t="s">
        <v>52</v>
      </c>
    </row>
    <row r="25" spans="1:29" ht="20.100000000000001" customHeight="1" thickTop="1" thickBot="1">
      <c r="A25" s="54" t="e">
        <f>IF(#REF!&lt;&gt;#REF!,#REF!,"")</f>
        <v>#REF!</v>
      </c>
      <c r="B25" s="77">
        <v>20</v>
      </c>
      <c r="C25" s="83" t="s">
        <v>174</v>
      </c>
      <c r="D25" s="79">
        <v>2</v>
      </c>
      <c r="E25" s="80" t="s">
        <v>71</v>
      </c>
      <c r="F25" s="69" t="s">
        <v>167</v>
      </c>
      <c r="G25" s="70" t="s">
        <v>97</v>
      </c>
      <c r="H25" s="53" t="str">
        <f>VLOOKUP(E25,MD!$C$6:$K$102,3,FALSE)</f>
        <v>我叫你</v>
      </c>
      <c r="I25" s="53" t="s">
        <v>167</v>
      </c>
      <c r="J25" s="53" t="str">
        <f>VLOOKUP(G25,MD!$C$6:$K$102,3,FALSE)</f>
        <v>微胖大叔</v>
      </c>
      <c r="K25" s="46">
        <v>2</v>
      </c>
      <c r="L25" s="46">
        <f>22+21</f>
        <v>43</v>
      </c>
      <c r="M25" s="46">
        <f>20+9</f>
        <v>29</v>
      </c>
      <c r="N25" s="46">
        <v>0</v>
      </c>
      <c r="O25" s="51" t="s">
        <v>1035</v>
      </c>
      <c r="Q25" s="209">
        <v>1</v>
      </c>
      <c r="R25" s="531" t="s">
        <v>904</v>
      </c>
      <c r="S25" s="220">
        <v>3</v>
      </c>
      <c r="T25" s="220">
        <v>0</v>
      </c>
      <c r="U25" s="220">
        <v>0</v>
      </c>
      <c r="V25" s="220">
        <f>S25*3+T25*1+U25*0</f>
        <v>9</v>
      </c>
      <c r="X25" s="209">
        <v>1</v>
      </c>
      <c r="Y25" s="220" t="s">
        <v>901</v>
      </c>
      <c r="Z25" s="220">
        <v>3</v>
      </c>
      <c r="AA25" s="220">
        <v>0</v>
      </c>
      <c r="AB25" s="220">
        <v>0</v>
      </c>
      <c r="AC25" s="220">
        <f>Z25*3+AA25*1+AB25*0</f>
        <v>9</v>
      </c>
    </row>
    <row r="26" spans="1:29" ht="20.100000000000001" customHeight="1" thickTop="1" thickBot="1">
      <c r="A26" s="54" t="e">
        <f>IF(#REF!&lt;&gt;#REF!,#REF!,"")</f>
        <v>#REF!</v>
      </c>
      <c r="B26" s="77">
        <v>21</v>
      </c>
      <c r="C26" s="67" t="s">
        <v>174</v>
      </c>
      <c r="D26" s="68">
        <v>3</v>
      </c>
      <c r="E26" s="69" t="s">
        <v>65</v>
      </c>
      <c r="F26" s="69" t="s">
        <v>167</v>
      </c>
      <c r="G26" s="69" t="s">
        <v>97</v>
      </c>
      <c r="H26" s="108" t="str">
        <f>VLOOKUP(E26,MD!$C$6:$K$102,3,FALSE)</f>
        <v>Pak &amp; Ivan</v>
      </c>
      <c r="I26" s="53" t="s">
        <v>167</v>
      </c>
      <c r="J26" s="53" t="str">
        <f>VLOOKUP(G26,MD!$C$6:$K$102,3,FALSE)</f>
        <v>微胖大叔</v>
      </c>
      <c r="K26" s="46">
        <v>2</v>
      </c>
      <c r="L26" s="46">
        <f>21+21</f>
        <v>42</v>
      </c>
      <c r="M26" s="46">
        <f>12+19</f>
        <v>31</v>
      </c>
      <c r="N26" s="46">
        <v>0</v>
      </c>
      <c r="O26" s="51" t="s">
        <v>1034</v>
      </c>
      <c r="Q26" s="209">
        <v>2</v>
      </c>
      <c r="R26" s="531" t="s">
        <v>905</v>
      </c>
      <c r="S26" s="220">
        <v>2</v>
      </c>
      <c r="T26" s="220">
        <v>0</v>
      </c>
      <c r="U26" s="220">
        <v>1</v>
      </c>
      <c r="V26" s="220">
        <f>S26*3+T26*1+U26*0</f>
        <v>6</v>
      </c>
      <c r="X26" s="209">
        <v>2</v>
      </c>
      <c r="Y26" s="220" t="s">
        <v>902</v>
      </c>
      <c r="Z26" s="220">
        <v>2</v>
      </c>
      <c r="AA26" s="220">
        <v>0</v>
      </c>
      <c r="AB26" s="220">
        <v>1</v>
      </c>
      <c r="AC26" s="220">
        <f>Z26*3+AA26*1+AB26*0</f>
        <v>6</v>
      </c>
    </row>
    <row r="27" spans="1:29" ht="20.100000000000001" customHeight="1" thickTop="1" thickBot="1">
      <c r="A27" s="54" t="e">
        <f>IF(#REF!&lt;&gt;#REF!,#REF!,"")</f>
        <v>#REF!</v>
      </c>
      <c r="B27" s="77">
        <v>22</v>
      </c>
      <c r="C27" s="83" t="s">
        <v>174</v>
      </c>
      <c r="D27" s="79">
        <v>4</v>
      </c>
      <c r="E27" s="80" t="s">
        <v>71</v>
      </c>
      <c r="F27" s="69" t="s">
        <v>167</v>
      </c>
      <c r="G27" s="70" t="s">
        <v>107</v>
      </c>
      <c r="H27" s="53" t="str">
        <f>VLOOKUP(E27,MD!$C$6:$K$102,3,FALSE)</f>
        <v>我叫你</v>
      </c>
      <c r="I27" s="53" t="s">
        <v>167</v>
      </c>
      <c r="J27" s="542" t="s">
        <v>818</v>
      </c>
      <c r="K27" s="46">
        <v>2</v>
      </c>
      <c r="L27" s="46">
        <v>42</v>
      </c>
      <c r="M27" s="46">
        <v>0</v>
      </c>
      <c r="N27" s="46">
        <v>0</v>
      </c>
      <c r="O27" s="51" t="s">
        <v>1024</v>
      </c>
      <c r="Q27" s="535"/>
      <c r="R27" s="536" t="s">
        <v>906</v>
      </c>
      <c r="S27" s="536"/>
      <c r="T27" s="536"/>
      <c r="U27" s="536"/>
      <c r="V27" s="536"/>
      <c r="X27" s="209">
        <v>3</v>
      </c>
      <c r="Y27" s="220" t="s">
        <v>903</v>
      </c>
      <c r="Z27" s="220">
        <v>1</v>
      </c>
      <c r="AA27" s="220">
        <v>0</v>
      </c>
      <c r="AB27" s="220">
        <v>2</v>
      </c>
      <c r="AC27" s="220">
        <f>Z27*3+AA27*1+AB27*0</f>
        <v>3</v>
      </c>
    </row>
    <row r="28" spans="1:29" ht="20.100000000000001" customHeight="1" thickTop="1" thickBot="1">
      <c r="A28" s="54" t="e">
        <f>IF(#REF!&lt;&gt;#REF!,#REF!,"")</f>
        <v>#REF!</v>
      </c>
      <c r="B28" s="75">
        <v>23</v>
      </c>
      <c r="C28" s="83" t="s">
        <v>174</v>
      </c>
      <c r="D28" s="79">
        <v>5</v>
      </c>
      <c r="E28" s="80" t="s">
        <v>97</v>
      </c>
      <c r="F28" s="69" t="s">
        <v>167</v>
      </c>
      <c r="G28" s="70" t="s">
        <v>107</v>
      </c>
      <c r="H28" s="53" t="str">
        <f>VLOOKUP(E28,MD!$C$6:$K$102,3,FALSE)</f>
        <v>微胖大叔</v>
      </c>
      <c r="I28" s="53" t="s">
        <v>167</v>
      </c>
      <c r="J28" s="542" t="s">
        <v>818</v>
      </c>
      <c r="K28" s="46">
        <v>2</v>
      </c>
      <c r="L28" s="46">
        <v>42</v>
      </c>
      <c r="M28" s="46">
        <v>0</v>
      </c>
      <c r="N28" s="46">
        <v>0</v>
      </c>
      <c r="O28" s="51" t="s">
        <v>1024</v>
      </c>
      <c r="Q28" s="535"/>
      <c r="R28" s="600" t="s">
        <v>907</v>
      </c>
      <c r="S28" s="536"/>
      <c r="T28" s="536"/>
      <c r="U28" s="536"/>
      <c r="V28" s="536"/>
      <c r="X28" s="535"/>
      <c r="Y28" s="536" t="s">
        <v>900</v>
      </c>
      <c r="Z28" s="536"/>
      <c r="AA28" s="536"/>
      <c r="AB28" s="536"/>
      <c r="AC28" s="536"/>
    </row>
    <row r="29" spans="1:29" ht="20.100000000000001" customHeight="1" thickTop="1" thickBot="1">
      <c r="A29" s="54" t="e">
        <f>IF(#REF!&lt;&gt;#REF!,#REF!,"")</f>
        <v>#REF!</v>
      </c>
      <c r="B29" s="77">
        <v>24</v>
      </c>
      <c r="C29" s="83" t="s">
        <v>174</v>
      </c>
      <c r="D29" s="72">
        <v>6</v>
      </c>
      <c r="E29" s="82" t="s">
        <v>65</v>
      </c>
      <c r="F29" s="73" t="s">
        <v>167</v>
      </c>
      <c r="G29" s="74" t="s">
        <v>71</v>
      </c>
      <c r="H29" s="53" t="str">
        <f>VLOOKUP(E29,MD!$C$6:$K$102,3,FALSE)</f>
        <v>Pak &amp; Ivan</v>
      </c>
      <c r="I29" s="53" t="s">
        <v>167</v>
      </c>
      <c r="J29" s="53" t="str">
        <f>VLOOKUP(G29,MD!$C$6:$K$102,3,FALSE)</f>
        <v>我叫你</v>
      </c>
      <c r="K29" s="46">
        <v>1</v>
      </c>
      <c r="L29" s="46">
        <f>15+21</f>
        <v>36</v>
      </c>
      <c r="M29" s="46">
        <f>21+17</f>
        <v>38</v>
      </c>
      <c r="N29" s="46">
        <v>1</v>
      </c>
    </row>
    <row r="30" spans="1:29" ht="20.100000000000001" customHeight="1" thickTop="1" thickBot="1">
      <c r="A30" s="54" t="e">
        <f>IF(#REF!&lt;&gt;#REF!,#REF!,"")</f>
        <v>#REF!</v>
      </c>
      <c r="B30" s="75">
        <v>25</v>
      </c>
      <c r="C30" s="60" t="s">
        <v>168</v>
      </c>
      <c r="D30" s="79">
        <v>1</v>
      </c>
      <c r="E30" s="80" t="s">
        <v>66</v>
      </c>
      <c r="F30" s="69" t="s">
        <v>167</v>
      </c>
      <c r="G30" s="70" t="s">
        <v>108</v>
      </c>
      <c r="H30" s="53" t="str">
        <f>VLOOKUP(E30,MD!$C$6:$K$102,3,FALSE)</f>
        <v>SKTL</v>
      </c>
      <c r="I30" s="53" t="s">
        <v>167</v>
      </c>
      <c r="J30" s="53" t="str">
        <f>VLOOKUP(G30,MD!$C$6:$K$102,3,FALSE)</f>
        <v xml:space="preserve">Alison volleyball </v>
      </c>
      <c r="K30" s="46">
        <v>2</v>
      </c>
      <c r="L30" s="46">
        <f>21+21</f>
        <v>42</v>
      </c>
      <c r="M30" s="46">
        <f>2+7</f>
        <v>9</v>
      </c>
      <c r="N30" s="46">
        <v>0</v>
      </c>
      <c r="O30" s="51" t="s">
        <v>820</v>
      </c>
      <c r="P30" s="92"/>
      <c r="Q30" s="92"/>
    </row>
    <row r="31" spans="1:29" ht="20.100000000000001" customHeight="1" thickTop="1" thickBot="1">
      <c r="A31" s="54" t="e">
        <f>IF(#REF!&lt;&gt;#REF!,#REF!,"")</f>
        <v>#REF!</v>
      </c>
      <c r="B31" s="77">
        <v>26</v>
      </c>
      <c r="C31" s="67" t="s">
        <v>168</v>
      </c>
      <c r="D31" s="79">
        <v>2</v>
      </c>
      <c r="E31" s="80" t="s">
        <v>70</v>
      </c>
      <c r="F31" s="69" t="s">
        <v>167</v>
      </c>
      <c r="G31" s="70" t="s">
        <v>99</v>
      </c>
      <c r="H31" s="53" t="str">
        <f>VLOOKUP(E31,MD!$C$6:$K$102,3,FALSE)</f>
        <v>夢幻組合</v>
      </c>
      <c r="I31" s="53" t="s">
        <v>167</v>
      </c>
      <c r="J31" s="53" t="str">
        <f>VLOOKUP(G31,MD!$C$6:$K$102,3,FALSE)</f>
        <v>爸爸隊</v>
      </c>
      <c r="K31" s="46">
        <v>2</v>
      </c>
      <c r="L31" s="46">
        <v>42</v>
      </c>
      <c r="M31" s="46">
        <v>0</v>
      </c>
      <c r="N31" s="46">
        <v>0</v>
      </c>
      <c r="O31" s="51" t="s">
        <v>819</v>
      </c>
      <c r="P31" s="92"/>
      <c r="Q31" s="92"/>
      <c r="R31" s="92"/>
      <c r="S31" s="92"/>
      <c r="T31" s="92"/>
      <c r="U31" s="92"/>
      <c r="V31" s="92"/>
      <c r="W31" s="92"/>
    </row>
    <row r="32" spans="1:29" ht="20.100000000000001" customHeight="1" thickTop="1" thickBot="1">
      <c r="A32" s="54" t="e">
        <f>IF(#REF!&lt;&gt;#REF!,#REF!,"")</f>
        <v>#REF!</v>
      </c>
      <c r="B32" s="77">
        <v>27</v>
      </c>
      <c r="C32" s="67" t="s">
        <v>168</v>
      </c>
      <c r="D32" s="68">
        <v>3</v>
      </c>
      <c r="E32" s="69" t="s">
        <v>66</v>
      </c>
      <c r="F32" s="69" t="s">
        <v>167</v>
      </c>
      <c r="G32" s="69" t="s">
        <v>99</v>
      </c>
      <c r="H32" s="108" t="str">
        <f>VLOOKUP(E32,MD!$C$6:$K$102,3,FALSE)</f>
        <v>SKTL</v>
      </c>
      <c r="I32" s="53" t="s">
        <v>167</v>
      </c>
      <c r="J32" s="53" t="str">
        <f>VLOOKUP(G32,MD!$C$6:$K$102,3,FALSE)</f>
        <v>爸爸隊</v>
      </c>
      <c r="K32" s="46">
        <v>2</v>
      </c>
      <c r="L32" s="46">
        <v>42</v>
      </c>
      <c r="M32" s="46">
        <v>0</v>
      </c>
      <c r="N32" s="46">
        <v>0</v>
      </c>
      <c r="O32" s="51" t="s">
        <v>819</v>
      </c>
      <c r="P32" s="92"/>
      <c r="Q32" s="92"/>
      <c r="R32" s="92"/>
      <c r="S32" s="92"/>
      <c r="T32" s="92"/>
      <c r="U32" s="92"/>
      <c r="V32" s="92"/>
      <c r="W32" s="92"/>
    </row>
    <row r="33" spans="1:29" ht="20.100000000000001" customHeight="1" thickTop="1" thickBot="1">
      <c r="A33" s="54" t="e">
        <f>IF(#REF!&lt;&gt;#REF!,#REF!,"")</f>
        <v>#REF!</v>
      </c>
      <c r="B33" s="77">
        <v>28</v>
      </c>
      <c r="C33" s="67" t="s">
        <v>168</v>
      </c>
      <c r="D33" s="79">
        <v>4</v>
      </c>
      <c r="E33" s="80" t="s">
        <v>70</v>
      </c>
      <c r="F33" s="69" t="s">
        <v>167</v>
      </c>
      <c r="G33" s="70" t="s">
        <v>108</v>
      </c>
      <c r="H33" s="53" t="str">
        <f>VLOOKUP(E33,MD!$C$6:$K$102,3,FALSE)</f>
        <v>夢幻組合</v>
      </c>
      <c r="I33" s="55" t="s">
        <v>167</v>
      </c>
      <c r="J33" s="53" t="str">
        <f>VLOOKUP(G33,MD!$C$6:$K$102,3,FALSE)</f>
        <v xml:space="preserve">Alison volleyball </v>
      </c>
      <c r="K33" s="46">
        <v>2</v>
      </c>
      <c r="L33" s="46">
        <f>21+21</f>
        <v>42</v>
      </c>
      <c r="M33" s="46">
        <f>11+6</f>
        <v>17</v>
      </c>
      <c r="N33" s="46">
        <v>0</v>
      </c>
      <c r="O33" s="51" t="s">
        <v>821</v>
      </c>
      <c r="P33" s="92"/>
      <c r="Q33" s="92"/>
      <c r="R33" s="92"/>
      <c r="S33" s="92"/>
      <c r="T33" s="92"/>
      <c r="U33" s="92"/>
      <c r="V33" s="92"/>
      <c r="W33" s="92"/>
    </row>
    <row r="34" spans="1:29" ht="20.100000000000001" customHeight="1" thickTop="1" thickBot="1">
      <c r="A34" s="54" t="e">
        <f>IF(#REF!&lt;&gt;#REF!,#REF!,"")</f>
        <v>#REF!</v>
      </c>
      <c r="B34" s="75">
        <v>29</v>
      </c>
      <c r="C34" s="67" t="s">
        <v>168</v>
      </c>
      <c r="D34" s="79">
        <v>5</v>
      </c>
      <c r="E34" s="80" t="s">
        <v>99</v>
      </c>
      <c r="F34" s="69" t="s">
        <v>167</v>
      </c>
      <c r="G34" s="70" t="s">
        <v>108</v>
      </c>
      <c r="H34" s="53" t="str">
        <f>VLOOKUP(E34,MD!$C$6:$K$102,3,FALSE)</f>
        <v>爸爸隊</v>
      </c>
      <c r="I34" s="48" t="s">
        <v>167</v>
      </c>
      <c r="J34" s="53" t="str">
        <f>VLOOKUP(G34,MD!$C$6:$K$102,3,FALSE)</f>
        <v xml:space="preserve">Alison volleyball </v>
      </c>
      <c r="K34" s="46">
        <v>0</v>
      </c>
      <c r="L34" s="46">
        <v>0</v>
      </c>
      <c r="M34" s="46">
        <v>42</v>
      </c>
      <c r="N34" s="46">
        <v>2</v>
      </c>
      <c r="O34" s="51" t="s">
        <v>819</v>
      </c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</row>
    <row r="35" spans="1:29" ht="20.100000000000001" customHeight="1">
      <c r="A35" s="54" t="e">
        <f>IF(#REF!&lt;&gt;#REF!,#REF!,"")</f>
        <v>#REF!</v>
      </c>
      <c r="B35" s="77">
        <v>30</v>
      </c>
      <c r="C35" s="67" t="s">
        <v>168</v>
      </c>
      <c r="D35" s="72">
        <v>6</v>
      </c>
      <c r="E35" s="82" t="s">
        <v>66</v>
      </c>
      <c r="F35" s="73" t="s">
        <v>167</v>
      </c>
      <c r="G35" s="74" t="s">
        <v>70</v>
      </c>
      <c r="H35" s="53" t="str">
        <f>VLOOKUP(E35,MD!$C$6:$K$102,3,FALSE)</f>
        <v>SKTL</v>
      </c>
      <c r="I35" s="53" t="s">
        <v>167</v>
      </c>
      <c r="J35" s="53" t="str">
        <f>VLOOKUP(G35,MD!$C$6:$K$102,3,FALSE)</f>
        <v>夢幻組合</v>
      </c>
      <c r="K35" s="46">
        <v>2</v>
      </c>
      <c r="L35" s="46">
        <f>21+21</f>
        <v>42</v>
      </c>
      <c r="M35" s="46">
        <f>15+18</f>
        <v>33</v>
      </c>
      <c r="N35" s="46">
        <v>0</v>
      </c>
      <c r="O35" s="51" t="s">
        <v>822</v>
      </c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</row>
    <row r="36" spans="1:29" ht="20.100000000000001" customHeight="1">
      <c r="A36" s="54" t="e">
        <f>IF(#REF!&lt;&gt;#REF!,#REF!,"")</f>
        <v>#REF!</v>
      </c>
      <c r="B36" s="75">
        <v>31</v>
      </c>
      <c r="C36" s="60" t="s">
        <v>169</v>
      </c>
      <c r="D36" s="79">
        <v>1</v>
      </c>
      <c r="E36" s="59" t="s">
        <v>67</v>
      </c>
      <c r="F36" s="62" t="s">
        <v>167</v>
      </c>
      <c r="G36" s="63" t="s">
        <v>109</v>
      </c>
      <c r="H36" s="53" t="str">
        <f>VLOOKUP(E36,MD!$C$6:$K$102,3,FALSE)</f>
        <v>SCAA YA</v>
      </c>
      <c r="I36" s="53" t="s">
        <v>167</v>
      </c>
      <c r="J36" s="53" t="str">
        <f>VLOOKUP(G36,MD!$C$6:$K$102,3,FALSE)</f>
        <v>SCAA 99</v>
      </c>
      <c r="K36" s="46">
        <v>2</v>
      </c>
      <c r="L36" s="46">
        <v>42</v>
      </c>
      <c r="M36" s="46">
        <v>0</v>
      </c>
      <c r="N36" s="46">
        <v>0</v>
      </c>
      <c r="O36" s="51" t="s">
        <v>1023</v>
      </c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</row>
    <row r="37" spans="1:29" ht="20.100000000000001" customHeight="1" thickTop="1" thickBot="1">
      <c r="A37" s="54" t="e">
        <f>IF(#REF!&lt;&gt;#REF!,#REF!,"")</f>
        <v>#REF!</v>
      </c>
      <c r="B37" s="77">
        <v>32</v>
      </c>
      <c r="C37" s="67" t="s">
        <v>169</v>
      </c>
      <c r="D37" s="79">
        <v>2</v>
      </c>
      <c r="E37" s="80" t="s">
        <v>91</v>
      </c>
      <c r="F37" s="69" t="s">
        <v>167</v>
      </c>
      <c r="G37" s="70" t="s">
        <v>78</v>
      </c>
      <c r="H37" s="53" t="str">
        <f>VLOOKUP(E37,MD!$C$6:$K$102,3,FALSE)</f>
        <v>撈碧鵰</v>
      </c>
      <c r="I37" s="53" t="s">
        <v>167</v>
      </c>
      <c r="J37" s="53">
        <f>VLOOKUP(G37,MD!$C$6:$K$102,3,FALSE)</f>
        <v>1987.5</v>
      </c>
      <c r="K37" s="46">
        <v>0</v>
      </c>
      <c r="L37" s="46">
        <f>7+13</f>
        <v>20</v>
      </c>
      <c r="M37" s="46">
        <f>21+21</f>
        <v>42</v>
      </c>
      <c r="N37" s="46">
        <v>2</v>
      </c>
      <c r="O37" s="51" t="s">
        <v>1031</v>
      </c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2"/>
      <c r="AC37" s="92"/>
    </row>
    <row r="38" spans="1:29" ht="20.100000000000001" customHeight="1" thickTop="1" thickBot="1">
      <c r="A38" s="54" t="e">
        <f>IF(#REF!&lt;&gt;#REF!,#REF!,"")</f>
        <v>#REF!</v>
      </c>
      <c r="B38" s="77">
        <v>33</v>
      </c>
      <c r="C38" s="67" t="s">
        <v>169</v>
      </c>
      <c r="D38" s="68">
        <v>3</v>
      </c>
      <c r="E38" s="69" t="s">
        <v>67</v>
      </c>
      <c r="F38" s="69" t="s">
        <v>167</v>
      </c>
      <c r="G38" s="69" t="s">
        <v>78</v>
      </c>
      <c r="H38" s="108" t="str">
        <f>VLOOKUP(E38,MD!$C$6:$K$102,3,FALSE)</f>
        <v>SCAA YA</v>
      </c>
      <c r="I38" s="53" t="s">
        <v>167</v>
      </c>
      <c r="J38" s="53">
        <f>VLOOKUP(G38,MD!$C$6:$K$102,3,FALSE)</f>
        <v>1987.5</v>
      </c>
      <c r="K38" s="46">
        <v>2</v>
      </c>
      <c r="L38" s="46">
        <f>21+23</f>
        <v>44</v>
      </c>
      <c r="M38" s="46">
        <f>19+21</f>
        <v>40</v>
      </c>
      <c r="N38" s="46">
        <v>0</v>
      </c>
      <c r="O38" s="51" t="s">
        <v>1030</v>
      </c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2"/>
      <c r="AC38" s="92"/>
    </row>
    <row r="39" spans="1:29" ht="20.100000000000001" customHeight="1" thickTop="1" thickBot="1">
      <c r="A39" s="54" t="e">
        <f>IF(#REF!&lt;&gt;#REF!,#REF!,"")</f>
        <v>#REF!</v>
      </c>
      <c r="B39" s="77">
        <v>34</v>
      </c>
      <c r="C39" s="67" t="s">
        <v>169</v>
      </c>
      <c r="D39" s="79">
        <v>4</v>
      </c>
      <c r="E39" s="80" t="s">
        <v>91</v>
      </c>
      <c r="F39" s="69" t="s">
        <v>167</v>
      </c>
      <c r="G39" s="70" t="s">
        <v>109</v>
      </c>
      <c r="H39" s="53" t="str">
        <f>VLOOKUP(E39,MD!$C$6:$K$102,3,FALSE)</f>
        <v>撈碧鵰</v>
      </c>
      <c r="I39" s="53" t="s">
        <v>167</v>
      </c>
      <c r="J39" s="53" t="str">
        <f>VLOOKUP(G39,MD!$C$6:$K$102,3,FALSE)</f>
        <v>SCAA 99</v>
      </c>
      <c r="K39" s="46">
        <v>2</v>
      </c>
      <c r="L39" s="46">
        <v>42</v>
      </c>
      <c r="M39" s="46">
        <v>0</v>
      </c>
      <c r="N39" s="46">
        <v>0</v>
      </c>
      <c r="O39" s="51" t="s">
        <v>1023</v>
      </c>
      <c r="P39" s="92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2"/>
      <c r="AC39" s="92"/>
    </row>
    <row r="40" spans="1:29" ht="20.100000000000001" customHeight="1">
      <c r="A40" s="54" t="e">
        <f>IF(#REF!&lt;&gt;#REF!,#REF!,"")</f>
        <v>#REF!</v>
      </c>
      <c r="B40" s="75">
        <v>35</v>
      </c>
      <c r="C40" s="67" t="s">
        <v>169</v>
      </c>
      <c r="D40" s="79">
        <v>5</v>
      </c>
      <c r="E40" s="80" t="s">
        <v>78</v>
      </c>
      <c r="F40" s="69" t="s">
        <v>167</v>
      </c>
      <c r="G40" s="70" t="s">
        <v>109</v>
      </c>
      <c r="H40" s="53">
        <f>VLOOKUP(E40,MD!$C$6:$K$102,3,FALSE)</f>
        <v>1987.5</v>
      </c>
      <c r="I40" s="53" t="s">
        <v>167</v>
      </c>
      <c r="J40" s="53" t="str">
        <f>VLOOKUP(G40,MD!$C$6:$K$102,3,FALSE)</f>
        <v>SCAA 99</v>
      </c>
      <c r="K40" s="46">
        <v>2</v>
      </c>
      <c r="L40" s="46">
        <v>42</v>
      </c>
      <c r="M40" s="46">
        <v>0</v>
      </c>
      <c r="N40" s="46">
        <v>0</v>
      </c>
      <c r="O40" s="51" t="s">
        <v>1023</v>
      </c>
      <c r="P40" s="92"/>
      <c r="Q40" s="92"/>
      <c r="R40" s="92"/>
      <c r="S40" s="92"/>
      <c r="T40" s="92"/>
      <c r="U40" s="92"/>
      <c r="V40" s="92"/>
      <c r="W40" s="92"/>
      <c r="X40" s="92"/>
      <c r="Y40" s="92"/>
      <c r="Z40" s="92"/>
      <c r="AA40" s="92"/>
      <c r="AB40" s="92"/>
      <c r="AC40" s="92"/>
    </row>
    <row r="41" spans="1:29" ht="20.100000000000001" customHeight="1">
      <c r="A41" s="54" t="e">
        <f>IF(#REF!&lt;&gt;#REF!,#REF!,"")</f>
        <v>#REF!</v>
      </c>
      <c r="B41" s="77">
        <v>36</v>
      </c>
      <c r="C41" s="71" t="s">
        <v>169</v>
      </c>
      <c r="D41" s="72">
        <v>6</v>
      </c>
      <c r="E41" s="82" t="s">
        <v>67</v>
      </c>
      <c r="F41" s="73" t="s">
        <v>167</v>
      </c>
      <c r="G41" s="74" t="s">
        <v>91</v>
      </c>
      <c r="H41" s="53" t="str">
        <f>VLOOKUP(E41,MD!$C$6:$K$102,3,FALSE)</f>
        <v>SCAA YA</v>
      </c>
      <c r="I41" s="53" t="s">
        <v>167</v>
      </c>
      <c r="J41" s="53" t="str">
        <f>VLOOKUP(G41,MD!$C$6:$K$102,3,FALSE)</f>
        <v>撈碧鵰</v>
      </c>
      <c r="K41" s="46">
        <v>2</v>
      </c>
      <c r="L41" s="46">
        <f>21+21</f>
        <v>42</v>
      </c>
      <c r="M41" s="46">
        <f>13+12</f>
        <v>25</v>
      </c>
      <c r="N41" s="46">
        <v>0</v>
      </c>
      <c r="O41" s="51" t="s">
        <v>1029</v>
      </c>
      <c r="P41" s="92"/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  <c r="AB41" s="92"/>
      <c r="AC41" s="92"/>
    </row>
    <row r="42" spans="1:29" ht="20.100000000000001" customHeight="1">
      <c r="A42" s="54" t="e">
        <f>IF(#REF!&lt;&gt;#REF!,#REF!,"")</f>
        <v>#REF!</v>
      </c>
      <c r="B42" s="75">
        <v>37</v>
      </c>
      <c r="C42" s="83" t="s">
        <v>170</v>
      </c>
      <c r="D42" s="79">
        <v>1</v>
      </c>
      <c r="E42" s="59" t="s">
        <v>87</v>
      </c>
      <c r="F42" s="62" t="s">
        <v>167</v>
      </c>
      <c r="G42" s="63" t="s">
        <v>111</v>
      </c>
      <c r="H42" s="53" t="str">
        <f>VLOOKUP(E42,MD!$C$6:$K$102,3,FALSE)</f>
        <v>Zlatan</v>
      </c>
      <c r="I42" s="53" t="s">
        <v>167</v>
      </c>
      <c r="J42" s="53" t="str">
        <f>VLOOKUP(G42,MD!$C$6:$K$102,3,FALSE)</f>
        <v>SCAA x CSUN</v>
      </c>
      <c r="K42" s="46" t="s">
        <v>781</v>
      </c>
      <c r="L42" s="46" t="s">
        <v>781</v>
      </c>
      <c r="M42" s="46" t="s">
        <v>781</v>
      </c>
      <c r="N42" s="46" t="s">
        <v>781</v>
      </c>
      <c r="O42" s="51" t="s">
        <v>788</v>
      </c>
      <c r="P42" s="92"/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  <c r="AB42" s="92"/>
      <c r="AC42" s="92"/>
    </row>
    <row r="43" spans="1:29" ht="20.100000000000001" customHeight="1" thickTop="1" thickBot="1">
      <c r="A43" s="54" t="e">
        <f>IF(#REF!&lt;&gt;#REF!,#REF!,"")</f>
        <v>#REF!</v>
      </c>
      <c r="B43" s="77">
        <v>38</v>
      </c>
      <c r="C43" s="83" t="s">
        <v>170</v>
      </c>
      <c r="D43" s="79">
        <v>2</v>
      </c>
      <c r="E43" s="80" t="s">
        <v>92</v>
      </c>
      <c r="F43" s="69" t="s">
        <v>167</v>
      </c>
      <c r="G43" s="70" t="s">
        <v>79</v>
      </c>
      <c r="H43" s="53" t="str">
        <f>VLOOKUP(E43,MD!$C$6:$K$102,3,FALSE)</f>
        <v>紅藍</v>
      </c>
      <c r="I43" s="53" t="s">
        <v>167</v>
      </c>
      <c r="J43" s="53" t="str">
        <f>VLOOKUP(G43,MD!$C$6:$K$102,3,FALSE)</f>
        <v>企拍</v>
      </c>
      <c r="K43" s="46">
        <v>2</v>
      </c>
      <c r="L43" s="46">
        <f>21+23</f>
        <v>44</v>
      </c>
      <c r="M43" s="46">
        <f>19+21</f>
        <v>40</v>
      </c>
      <c r="N43" s="46">
        <v>0</v>
      </c>
      <c r="O43" s="51" t="s">
        <v>895</v>
      </c>
      <c r="P43" s="92"/>
      <c r="Q43" s="92"/>
      <c r="R43" s="92"/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</row>
    <row r="44" spans="1:29" ht="20.100000000000001" customHeight="1" thickTop="1" thickBot="1">
      <c r="A44" s="54" t="e">
        <f>IF(#REF!&lt;&gt;#REF!,#REF!,"")</f>
        <v>#REF!</v>
      </c>
      <c r="B44" s="77">
        <v>39</v>
      </c>
      <c r="C44" s="67" t="s">
        <v>170</v>
      </c>
      <c r="D44" s="68">
        <v>3</v>
      </c>
      <c r="E44" s="69" t="s">
        <v>87</v>
      </c>
      <c r="F44" s="69" t="s">
        <v>167</v>
      </c>
      <c r="G44" s="69" t="s">
        <v>79</v>
      </c>
      <c r="H44" s="108" t="str">
        <f>VLOOKUP(E44,MD!$C$6:$K$102,3,FALSE)</f>
        <v>Zlatan</v>
      </c>
      <c r="I44" s="53" t="s">
        <v>167</v>
      </c>
      <c r="J44" s="53" t="str">
        <f>VLOOKUP(G44,MD!$C$6:$K$102,3,FALSE)</f>
        <v>企拍</v>
      </c>
      <c r="K44" s="46">
        <v>0</v>
      </c>
      <c r="L44" s="46">
        <v>0</v>
      </c>
      <c r="M44" s="46">
        <v>42</v>
      </c>
      <c r="N44" s="46">
        <v>2</v>
      </c>
      <c r="P44" s="92"/>
      <c r="Q44" s="92"/>
      <c r="R44" s="92"/>
      <c r="S44" s="92"/>
      <c r="T44" s="92"/>
      <c r="U44" s="92"/>
      <c r="V44" s="92"/>
      <c r="W44" s="92"/>
      <c r="X44" s="92"/>
      <c r="Y44" s="92"/>
      <c r="Z44" s="92"/>
      <c r="AA44" s="92"/>
      <c r="AB44" s="92"/>
      <c r="AC44" s="92"/>
    </row>
    <row r="45" spans="1:29" ht="20.100000000000001" customHeight="1" thickTop="1" thickBot="1">
      <c r="A45" s="54" t="e">
        <f>IF(#REF!&lt;&gt;#REF!,#REF!,"")</f>
        <v>#REF!</v>
      </c>
      <c r="B45" s="77">
        <v>40</v>
      </c>
      <c r="C45" s="83" t="s">
        <v>170</v>
      </c>
      <c r="D45" s="79">
        <v>4</v>
      </c>
      <c r="E45" s="80" t="s">
        <v>92</v>
      </c>
      <c r="F45" s="69" t="s">
        <v>167</v>
      </c>
      <c r="G45" s="70" t="s">
        <v>111</v>
      </c>
      <c r="H45" s="53" t="str">
        <f>VLOOKUP(E45,MD!$C$6:$K$102,3,FALSE)</f>
        <v>紅藍</v>
      </c>
      <c r="I45" s="53" t="s">
        <v>167</v>
      </c>
      <c r="J45" s="53" t="str">
        <f>VLOOKUP(G45,MD!$C$6:$K$102,3,FALSE)</f>
        <v>SCAA x CSUN</v>
      </c>
      <c r="K45" s="46">
        <v>2</v>
      </c>
      <c r="L45" s="46">
        <v>42</v>
      </c>
      <c r="M45" s="46">
        <v>0</v>
      </c>
      <c r="N45" s="46">
        <v>0</v>
      </c>
      <c r="O45" s="51" t="s">
        <v>1025</v>
      </c>
      <c r="P45" s="92"/>
      <c r="Q45" s="92"/>
      <c r="R45" s="92"/>
      <c r="S45" s="92"/>
      <c r="T45" s="92"/>
      <c r="U45" s="92"/>
      <c r="V45" s="92"/>
      <c r="W45" s="92"/>
      <c r="X45" s="92"/>
      <c r="Y45" s="92"/>
      <c r="Z45" s="92"/>
      <c r="AA45" s="92"/>
      <c r="AB45" s="92"/>
      <c r="AC45" s="92"/>
    </row>
    <row r="46" spans="1:29" ht="20.100000000000001" customHeight="1">
      <c r="B46" s="75">
        <v>41</v>
      </c>
      <c r="C46" s="83" t="s">
        <v>170</v>
      </c>
      <c r="D46" s="79">
        <v>5</v>
      </c>
      <c r="E46" s="80" t="s">
        <v>79</v>
      </c>
      <c r="F46" s="69" t="s">
        <v>167</v>
      </c>
      <c r="G46" s="70" t="s">
        <v>111</v>
      </c>
      <c r="H46" s="53" t="str">
        <f>VLOOKUP(E46,MD!$C$6:$K$102,3,FALSE)</f>
        <v>企拍</v>
      </c>
      <c r="I46" s="53" t="s">
        <v>167</v>
      </c>
      <c r="J46" s="53" t="str">
        <f>VLOOKUP(G46,MD!$C$6:$K$102,3,FALSE)</f>
        <v>SCAA x CSUN</v>
      </c>
      <c r="K46" s="46">
        <v>2</v>
      </c>
      <c r="L46" s="46">
        <v>42</v>
      </c>
      <c r="M46" s="46">
        <v>0</v>
      </c>
      <c r="N46" s="46">
        <v>0</v>
      </c>
      <c r="O46" s="51" t="s">
        <v>1025</v>
      </c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</row>
    <row r="47" spans="1:29" ht="20.100000000000001" customHeight="1">
      <c r="B47" s="77">
        <v>42</v>
      </c>
      <c r="C47" s="71" t="s">
        <v>170</v>
      </c>
      <c r="D47" s="72">
        <v>6</v>
      </c>
      <c r="E47" s="82" t="s">
        <v>87</v>
      </c>
      <c r="F47" s="73" t="s">
        <v>167</v>
      </c>
      <c r="G47" s="74" t="s">
        <v>92</v>
      </c>
      <c r="H47" s="53" t="str">
        <f>VLOOKUP(E47,MD!$C$6:$K$102,3,FALSE)</f>
        <v>Zlatan</v>
      </c>
      <c r="I47" s="53" t="s">
        <v>167</v>
      </c>
      <c r="J47" s="53" t="str">
        <f>VLOOKUP(G47,MD!$C$6:$K$102,3,FALSE)</f>
        <v>紅藍</v>
      </c>
      <c r="K47" s="46">
        <v>0</v>
      </c>
      <c r="L47" s="46">
        <v>0</v>
      </c>
      <c r="M47" s="46">
        <v>42</v>
      </c>
      <c r="N47" s="46">
        <v>2</v>
      </c>
      <c r="O47" s="51" t="s">
        <v>1026</v>
      </c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</row>
    <row r="48" spans="1:29" ht="20.100000000000001" customHeight="1">
      <c r="B48" s="75">
        <v>43</v>
      </c>
      <c r="C48" s="83" t="s">
        <v>171</v>
      </c>
      <c r="D48" s="79">
        <v>1</v>
      </c>
      <c r="E48" s="80" t="s">
        <v>88</v>
      </c>
      <c r="F48" s="69" t="s">
        <v>167</v>
      </c>
      <c r="G48" s="70" t="s">
        <v>81</v>
      </c>
      <c r="H48" s="53" t="str">
        <f>VLOOKUP(E48,MD!$C$6:$K$102,3,FALSE)</f>
        <v>ALPS_我要買GTR</v>
      </c>
      <c r="I48" s="53" t="s">
        <v>167</v>
      </c>
      <c r="J48" s="53" t="str">
        <f>VLOOKUP(G48,MD!$C$6:$K$102,3,FALSE)</f>
        <v>ALPS - 平均米九</v>
      </c>
      <c r="K48" s="46">
        <v>0</v>
      </c>
      <c r="L48" s="46">
        <f>16+16</f>
        <v>32</v>
      </c>
      <c r="M48" s="46">
        <f>21+21</f>
        <v>42</v>
      </c>
      <c r="N48" s="46">
        <v>2</v>
      </c>
      <c r="O48" s="51" t="s">
        <v>896</v>
      </c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</row>
    <row r="49" spans="2:29" ht="20.100000000000001" customHeight="1" thickTop="1" thickBot="1">
      <c r="B49" s="77">
        <v>44</v>
      </c>
      <c r="C49" s="83" t="s">
        <v>171</v>
      </c>
      <c r="D49" s="79">
        <v>2</v>
      </c>
      <c r="E49" s="80" t="s">
        <v>68</v>
      </c>
      <c r="F49" s="69" t="s">
        <v>167</v>
      </c>
      <c r="G49" s="70" t="s">
        <v>80</v>
      </c>
      <c r="H49" s="53" t="str">
        <f>VLOOKUP(E49,MD!$C$6:$K$102,3,FALSE)</f>
        <v>FS</v>
      </c>
      <c r="I49" s="53" t="s">
        <v>167</v>
      </c>
      <c r="J49" s="53" t="str">
        <f>VLOOKUP(G49,MD!$C$6:$K$102,3,FALSE)</f>
        <v>LSC</v>
      </c>
      <c r="K49" s="46">
        <v>0</v>
      </c>
      <c r="L49" s="46">
        <v>0</v>
      </c>
      <c r="M49" s="46">
        <v>42</v>
      </c>
      <c r="N49" s="46">
        <v>2</v>
      </c>
      <c r="O49" s="51" t="s">
        <v>897</v>
      </c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</row>
    <row r="50" spans="2:29" ht="20.100000000000001" customHeight="1" thickTop="1" thickBot="1">
      <c r="B50" s="77">
        <v>45</v>
      </c>
      <c r="C50" s="67" t="s">
        <v>171</v>
      </c>
      <c r="D50" s="68">
        <v>3</v>
      </c>
      <c r="E50" s="69" t="s">
        <v>88</v>
      </c>
      <c r="F50" s="69" t="s">
        <v>167</v>
      </c>
      <c r="G50" s="69" t="s">
        <v>80</v>
      </c>
      <c r="H50" s="108" t="str">
        <f>VLOOKUP(E50,MD!$C$6:$K$102,3,FALSE)</f>
        <v>ALPS_我要買GTR</v>
      </c>
      <c r="I50" s="53" t="s">
        <v>167</v>
      </c>
      <c r="J50" s="53" t="str">
        <f>VLOOKUP(G50,MD!$C$6:$K$102,3,FALSE)</f>
        <v>LSC</v>
      </c>
      <c r="K50" s="46">
        <v>2</v>
      </c>
      <c r="L50" s="46">
        <f>21+21</f>
        <v>42</v>
      </c>
      <c r="M50" s="46">
        <f>16+16</f>
        <v>32</v>
      </c>
      <c r="N50" s="46">
        <v>0</v>
      </c>
      <c r="O50" s="51" t="s">
        <v>898</v>
      </c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</row>
    <row r="51" spans="2:29" ht="20.100000000000001" customHeight="1" thickTop="1" thickBot="1">
      <c r="B51" s="77">
        <v>46</v>
      </c>
      <c r="C51" s="83" t="s">
        <v>171</v>
      </c>
      <c r="D51" s="79">
        <v>4</v>
      </c>
      <c r="E51" s="80" t="s">
        <v>68</v>
      </c>
      <c r="F51" s="69" t="s">
        <v>167</v>
      </c>
      <c r="G51" s="70" t="s">
        <v>81</v>
      </c>
      <c r="H51" s="53" t="str">
        <f>VLOOKUP(E51,MD!$C$6:$K$102,3,FALSE)</f>
        <v>FS</v>
      </c>
      <c r="I51" s="53" t="s">
        <v>167</v>
      </c>
      <c r="J51" s="53" t="str">
        <f>VLOOKUP(G51,MD!$C$6:$K$102,3,FALSE)</f>
        <v>ALPS - 平均米九</v>
      </c>
      <c r="K51" s="46">
        <v>0</v>
      </c>
      <c r="L51" s="46">
        <v>0</v>
      </c>
      <c r="M51" s="46">
        <v>42</v>
      </c>
      <c r="N51" s="46">
        <v>2</v>
      </c>
      <c r="O51" s="51" t="s">
        <v>897</v>
      </c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</row>
    <row r="52" spans="2:29" ht="20.100000000000001" customHeight="1">
      <c r="B52" s="75">
        <v>47</v>
      </c>
      <c r="C52" s="83" t="s">
        <v>171</v>
      </c>
      <c r="D52" s="79">
        <v>5</v>
      </c>
      <c r="E52" s="80" t="s">
        <v>80</v>
      </c>
      <c r="F52" s="69" t="s">
        <v>167</v>
      </c>
      <c r="G52" s="70" t="s">
        <v>81</v>
      </c>
      <c r="H52" s="53" t="str">
        <f>VLOOKUP(E52,MD!$C$6:$K$102,3,FALSE)</f>
        <v>LSC</v>
      </c>
      <c r="I52" s="53" t="s">
        <v>167</v>
      </c>
      <c r="J52" s="53" t="str">
        <f>VLOOKUP(G52,MD!$C$6:$K$102,3,FALSE)</f>
        <v>ALPS - 平均米九</v>
      </c>
      <c r="K52" s="46">
        <v>0</v>
      </c>
      <c r="L52" s="46">
        <v>0</v>
      </c>
      <c r="M52" s="46">
        <v>42</v>
      </c>
      <c r="N52" s="46">
        <v>2</v>
      </c>
      <c r="O52" s="51" t="s">
        <v>899</v>
      </c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</row>
    <row r="53" spans="2:29" ht="20.100000000000001" customHeight="1" thickTop="1">
      <c r="B53" s="77">
        <v>48</v>
      </c>
      <c r="C53" s="84" t="s">
        <v>171</v>
      </c>
      <c r="D53" s="72">
        <v>6</v>
      </c>
      <c r="E53" s="82" t="s">
        <v>88</v>
      </c>
      <c r="F53" s="73" t="s">
        <v>167</v>
      </c>
      <c r="G53" s="74" t="s">
        <v>68</v>
      </c>
      <c r="H53" s="55" t="str">
        <f>VLOOKUP(E53,MD!$C$6:$K$102,3,FALSE)</f>
        <v>ALPS_我要買GTR</v>
      </c>
      <c r="I53" s="55" t="s">
        <v>167</v>
      </c>
      <c r="J53" s="55" t="str">
        <f>VLOOKUP(G53,MD!$C$6:$K$102,3,FALSE)</f>
        <v>FS</v>
      </c>
      <c r="K53" s="46">
        <v>2</v>
      </c>
      <c r="L53" s="46">
        <v>42</v>
      </c>
      <c r="M53" s="46">
        <v>0</v>
      </c>
      <c r="N53" s="46">
        <v>0</v>
      </c>
      <c r="O53" s="51" t="s">
        <v>897</v>
      </c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</row>
    <row r="54" spans="2:29" hidden="1">
      <c r="B54" s="245"/>
      <c r="C54" s="245"/>
      <c r="D54" s="245"/>
      <c r="E54" s="245"/>
      <c r="F54" s="245"/>
      <c r="G54" s="245"/>
      <c r="H54" s="48" t="e">
        <f>VLOOKUP(E54,#REF!,3,FALSE)</f>
        <v>#REF!</v>
      </c>
      <c r="J54" s="48">
        <f>VLOOKUP(G54,MD!$C$6:$K$102,3,FALSE)</f>
        <v>0</v>
      </c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  <c r="AB54" s="92"/>
      <c r="AC54" s="92"/>
    </row>
    <row r="55" spans="2:29"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  <c r="AB55" s="92"/>
      <c r="AC55" s="92"/>
    </row>
  </sheetData>
  <sheetProtection selectLockedCells="1" selectUnlockedCells="1"/>
  <mergeCells count="4">
    <mergeCell ref="C5:D5"/>
    <mergeCell ref="C4:D4"/>
    <mergeCell ref="E5:G5"/>
    <mergeCell ref="E4:G4"/>
  </mergeCells>
  <phoneticPr fontId="49" type="noConversion"/>
  <printOptions horizontalCentered="1" verticalCentered="1"/>
  <pageMargins left="0" right="0" top="0" bottom="0" header="0.51180555555555551" footer="0.51180555555555551"/>
  <pageSetup paperSize="9" scale="52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S77"/>
  <sheetViews>
    <sheetView zoomScale="70" zoomScaleNormal="70" workbookViewId="0">
      <selection activeCell="D32" sqref="D32"/>
    </sheetView>
  </sheetViews>
  <sheetFormatPr defaultColWidth="7.6640625" defaultRowHeight="21"/>
  <cols>
    <col min="1" max="1" width="3.6640625" style="92" customWidth="1"/>
    <col min="2" max="4" width="9" style="92" customWidth="1"/>
    <col min="5" max="5" width="26.109375" style="91" customWidth="1"/>
    <col min="6" max="6" width="17.5546875" style="91" customWidth="1"/>
    <col min="7" max="7" width="11.6640625" style="91" hidden="1" customWidth="1"/>
    <col min="8" max="8" width="8.88671875" style="91" bestFit="1" customWidth="1"/>
    <col min="9" max="9" width="17.5546875" style="91" customWidth="1"/>
    <col min="10" max="10" width="11.6640625" style="91" hidden="1" customWidth="1"/>
    <col min="11" max="11" width="7.33203125" style="91" customWidth="1"/>
    <col min="12" max="12" width="13.6640625" style="91" customWidth="1"/>
    <col min="13" max="13" width="17.33203125" style="92" customWidth="1"/>
    <col min="14" max="14" width="38.6640625" style="40" customWidth="1"/>
    <col min="15" max="15" width="6" style="92" customWidth="1"/>
    <col min="16" max="17" width="10.44140625" style="92" hidden="1" customWidth="1"/>
    <col min="18" max="18" width="7.6640625" style="92" customWidth="1"/>
    <col min="19" max="16384" width="7.6640625" style="92"/>
  </cols>
  <sheetData>
    <row r="1" spans="2:19" ht="21" customHeight="1">
      <c r="B1" s="149" t="s">
        <v>310</v>
      </c>
      <c r="C1" s="150"/>
      <c r="D1" s="150"/>
      <c r="E1" s="40"/>
      <c r="F1" s="151"/>
      <c r="G1" s="151"/>
      <c r="H1" s="151"/>
      <c r="I1" s="151"/>
      <c r="J1" s="151"/>
      <c r="K1" s="151"/>
      <c r="L1" s="151"/>
      <c r="M1" s="152"/>
    </row>
    <row r="2" spans="2:19" ht="21" customHeight="1">
      <c r="B2" s="153" t="s">
        <v>44</v>
      </c>
      <c r="C2" s="153"/>
      <c r="D2" s="153"/>
      <c r="E2" s="151"/>
      <c r="F2" s="151"/>
      <c r="G2" s="151"/>
      <c r="H2" s="151"/>
      <c r="I2" s="151"/>
      <c r="J2" s="151"/>
      <c r="K2" s="154"/>
      <c r="L2" s="154"/>
      <c r="M2" s="152"/>
    </row>
    <row r="3" spans="2:19" ht="21" customHeight="1">
      <c r="B3" s="155" t="s">
        <v>311</v>
      </c>
      <c r="C3" s="156"/>
      <c r="D3" s="156"/>
      <c r="E3" s="40"/>
      <c r="F3" s="154"/>
      <c r="G3" s="154"/>
      <c r="H3" s="154"/>
      <c r="I3" s="154"/>
      <c r="J3" s="154"/>
      <c r="K3" s="154"/>
      <c r="L3" s="154"/>
      <c r="M3" s="157"/>
      <c r="N3" s="158"/>
      <c r="O3" s="159"/>
    </row>
    <row r="4" spans="2:19" ht="21" customHeight="1">
      <c r="B4" s="160" t="s">
        <v>312</v>
      </c>
      <c r="C4" s="88" t="s">
        <v>45</v>
      </c>
      <c r="D4" s="161" t="s">
        <v>46</v>
      </c>
      <c r="E4" s="162" t="s">
        <v>47</v>
      </c>
      <c r="F4" s="163"/>
      <c r="G4" s="164"/>
      <c r="H4" s="165" t="s">
        <v>48</v>
      </c>
      <c r="I4" s="163"/>
      <c r="J4" s="164"/>
      <c r="K4" s="165" t="s">
        <v>48</v>
      </c>
      <c r="L4" s="163" t="s">
        <v>313</v>
      </c>
      <c r="M4" s="162" t="s">
        <v>49</v>
      </c>
      <c r="N4" s="88"/>
      <c r="O4" s="23"/>
    </row>
    <row r="5" spans="2:19" ht="21" customHeight="1" thickBot="1">
      <c r="B5" s="167" t="s">
        <v>50</v>
      </c>
      <c r="C5" s="162" t="s">
        <v>314</v>
      </c>
      <c r="D5" s="168" t="s">
        <v>51</v>
      </c>
      <c r="E5" s="169" t="s">
        <v>315</v>
      </c>
      <c r="F5" s="170" t="s">
        <v>316</v>
      </c>
      <c r="G5" s="170" t="s">
        <v>317</v>
      </c>
      <c r="H5" s="171" t="s">
        <v>52</v>
      </c>
      <c r="I5" s="170" t="s">
        <v>318</v>
      </c>
      <c r="J5" s="170" t="s">
        <v>317</v>
      </c>
      <c r="K5" s="171" t="s">
        <v>52</v>
      </c>
      <c r="L5" s="172" t="s">
        <v>52</v>
      </c>
      <c r="M5" s="169" t="s">
        <v>314</v>
      </c>
      <c r="N5" s="88"/>
      <c r="O5" s="123" t="s">
        <v>319</v>
      </c>
      <c r="P5" s="544" t="s">
        <v>827</v>
      </c>
      <c r="Q5" s="544" t="s">
        <v>828</v>
      </c>
      <c r="R5" s="152"/>
      <c r="S5" s="152"/>
    </row>
    <row r="6" spans="2:19" ht="20.100000000000001" customHeight="1">
      <c r="B6" s="406">
        <v>1</v>
      </c>
      <c r="C6" s="407" t="str">
        <f t="shared" ref="C6:C37" si="0">M6</f>
        <v>AA1</v>
      </c>
      <c r="D6" s="407">
        <v>1</v>
      </c>
      <c r="E6" s="408" t="s">
        <v>363</v>
      </c>
      <c r="F6" s="408" t="s">
        <v>701</v>
      </c>
      <c r="G6" s="408" t="s">
        <v>394</v>
      </c>
      <c r="H6" s="408">
        <v>117</v>
      </c>
      <c r="I6" s="408" t="s">
        <v>702</v>
      </c>
      <c r="J6" s="408" t="s">
        <v>421</v>
      </c>
      <c r="K6" s="408">
        <v>117</v>
      </c>
      <c r="L6" s="409">
        <f t="shared" ref="L6:L32" si="1">H6+K6</f>
        <v>234</v>
      </c>
      <c r="M6" s="410" t="s">
        <v>53</v>
      </c>
      <c r="N6" s="26"/>
      <c r="O6" s="23"/>
      <c r="P6" s="91"/>
      <c r="Q6" s="91">
        <f>P6/2</f>
        <v>0</v>
      </c>
    </row>
    <row r="7" spans="2:19" ht="20.100000000000001" customHeight="1">
      <c r="B7" s="411">
        <v>2</v>
      </c>
      <c r="C7" s="85" t="str">
        <f t="shared" si="0"/>
        <v>AA2</v>
      </c>
      <c r="D7" s="85">
        <v>2</v>
      </c>
      <c r="E7" s="29" t="s">
        <v>929</v>
      </c>
      <c r="F7" s="549" t="s">
        <v>928</v>
      </c>
      <c r="G7" s="29" t="s">
        <v>397</v>
      </c>
      <c r="H7" s="29">
        <v>112.5</v>
      </c>
      <c r="I7" s="29" t="s">
        <v>703</v>
      </c>
      <c r="J7" s="29" t="s">
        <v>411</v>
      </c>
      <c r="K7" s="29">
        <v>111</v>
      </c>
      <c r="L7" s="405">
        <f t="shared" si="1"/>
        <v>223.5</v>
      </c>
      <c r="M7" s="412" t="s">
        <v>54</v>
      </c>
      <c r="N7" s="26"/>
      <c r="O7" s="23"/>
      <c r="P7" s="91"/>
      <c r="Q7" s="91">
        <f t="shared" ref="Q7:Q32" si="2">P7/2</f>
        <v>0</v>
      </c>
    </row>
    <row r="8" spans="2:19" ht="20.100000000000001" customHeight="1">
      <c r="B8" s="413">
        <v>3</v>
      </c>
      <c r="C8" s="85" t="str">
        <f t="shared" si="0"/>
        <v>AA3</v>
      </c>
      <c r="D8" s="85">
        <v>3</v>
      </c>
      <c r="E8" s="549" t="s">
        <v>932</v>
      </c>
      <c r="F8" s="549" t="s">
        <v>930</v>
      </c>
      <c r="G8" s="29" t="s">
        <v>391</v>
      </c>
      <c r="H8" s="29">
        <v>98.5</v>
      </c>
      <c r="I8" s="29" t="s">
        <v>704</v>
      </c>
      <c r="J8" s="29" t="s">
        <v>410</v>
      </c>
      <c r="K8" s="29">
        <v>98.5</v>
      </c>
      <c r="L8" s="405">
        <f t="shared" si="1"/>
        <v>197</v>
      </c>
      <c r="M8" s="412" t="s">
        <v>55</v>
      </c>
      <c r="N8" s="26"/>
      <c r="O8" s="23"/>
      <c r="P8" s="91"/>
      <c r="Q8" s="91">
        <f t="shared" si="2"/>
        <v>0</v>
      </c>
    </row>
    <row r="9" spans="2:19" ht="20.100000000000001" customHeight="1">
      <c r="B9" s="411">
        <v>5</v>
      </c>
      <c r="C9" s="85" t="str">
        <f t="shared" si="0"/>
        <v>AA4</v>
      </c>
      <c r="D9" s="85">
        <v>4</v>
      </c>
      <c r="E9" s="29" t="s">
        <v>380</v>
      </c>
      <c r="F9" s="29" t="s">
        <v>705</v>
      </c>
      <c r="G9" s="29" t="s">
        <v>392</v>
      </c>
      <c r="H9" s="29">
        <v>82.5</v>
      </c>
      <c r="I9" s="29" t="s">
        <v>706</v>
      </c>
      <c r="J9" s="29" t="s">
        <v>419</v>
      </c>
      <c r="K9" s="29">
        <v>90</v>
      </c>
      <c r="L9" s="405">
        <f t="shared" si="1"/>
        <v>172.5</v>
      </c>
      <c r="M9" s="412" t="s">
        <v>693</v>
      </c>
      <c r="N9" s="26"/>
      <c r="O9" s="23"/>
      <c r="P9" s="91"/>
      <c r="Q9" s="91">
        <f t="shared" si="2"/>
        <v>0</v>
      </c>
    </row>
    <row r="10" spans="2:19" ht="20.100000000000001" customHeight="1">
      <c r="B10" s="411">
        <v>4</v>
      </c>
      <c r="C10" s="85" t="str">
        <f t="shared" si="0"/>
        <v>AA5</v>
      </c>
      <c r="D10" s="85">
        <v>5</v>
      </c>
      <c r="E10" s="29" t="s">
        <v>933</v>
      </c>
      <c r="F10" s="29" t="s">
        <v>707</v>
      </c>
      <c r="G10" s="29" t="s">
        <v>388</v>
      </c>
      <c r="H10" s="29">
        <v>93</v>
      </c>
      <c r="I10" s="549" t="s">
        <v>931</v>
      </c>
      <c r="J10" s="29" t="s">
        <v>412</v>
      </c>
      <c r="K10" s="29">
        <v>78</v>
      </c>
      <c r="L10" s="405">
        <f t="shared" si="1"/>
        <v>171</v>
      </c>
      <c r="M10" s="412" t="s">
        <v>694</v>
      </c>
      <c r="N10" s="26"/>
      <c r="O10" s="23"/>
      <c r="P10" s="91"/>
      <c r="Q10" s="91">
        <f t="shared" si="2"/>
        <v>0</v>
      </c>
    </row>
    <row r="11" spans="2:19" ht="20.100000000000001" customHeight="1">
      <c r="B11" s="411">
        <v>6</v>
      </c>
      <c r="C11" s="85" t="str">
        <f t="shared" si="0"/>
        <v>AA6</v>
      </c>
      <c r="D11" s="85">
        <v>6</v>
      </c>
      <c r="E11" s="29" t="s">
        <v>371</v>
      </c>
      <c r="F11" s="29" t="s">
        <v>708</v>
      </c>
      <c r="G11" s="29" t="s">
        <v>398</v>
      </c>
      <c r="H11" s="29">
        <v>83.5</v>
      </c>
      <c r="I11" s="29" t="s">
        <v>709</v>
      </c>
      <c r="J11" s="29" t="s">
        <v>413</v>
      </c>
      <c r="K11" s="29">
        <v>76.5</v>
      </c>
      <c r="L11" s="405">
        <f t="shared" si="1"/>
        <v>160</v>
      </c>
      <c r="M11" s="412" t="s">
        <v>58</v>
      </c>
      <c r="N11" s="26"/>
      <c r="O11" s="23"/>
      <c r="P11" s="91"/>
      <c r="Q11" s="91">
        <f t="shared" si="2"/>
        <v>0</v>
      </c>
    </row>
    <row r="12" spans="2:19" ht="20.100000000000001" customHeight="1">
      <c r="B12" s="411">
        <v>7</v>
      </c>
      <c r="C12" s="85" t="str">
        <f t="shared" si="0"/>
        <v>AA7</v>
      </c>
      <c r="D12" s="85">
        <v>7</v>
      </c>
      <c r="E12" s="29" t="s">
        <v>362</v>
      </c>
      <c r="F12" s="29" t="s">
        <v>710</v>
      </c>
      <c r="G12" s="29" t="s">
        <v>393</v>
      </c>
      <c r="H12" s="29">
        <v>66</v>
      </c>
      <c r="I12" s="29" t="s">
        <v>711</v>
      </c>
      <c r="J12" s="29" t="s">
        <v>420</v>
      </c>
      <c r="K12" s="29">
        <v>66</v>
      </c>
      <c r="L12" s="405">
        <f t="shared" si="1"/>
        <v>132</v>
      </c>
      <c r="M12" s="412" t="s">
        <v>59</v>
      </c>
      <c r="N12" s="26"/>
      <c r="O12" s="23"/>
      <c r="P12" s="91"/>
      <c r="Q12" s="91">
        <f t="shared" si="2"/>
        <v>0</v>
      </c>
    </row>
    <row r="13" spans="2:19" ht="20.100000000000001" customHeight="1" thickBot="1">
      <c r="B13" s="414">
        <v>8</v>
      </c>
      <c r="C13" s="415" t="str">
        <f t="shared" si="0"/>
        <v>AA8</v>
      </c>
      <c r="D13" s="415">
        <v>8</v>
      </c>
      <c r="E13" s="416" t="s">
        <v>366</v>
      </c>
      <c r="F13" s="416" t="s">
        <v>712</v>
      </c>
      <c r="G13" s="416" t="s">
        <v>384</v>
      </c>
      <c r="H13" s="416">
        <v>67.5</v>
      </c>
      <c r="I13" s="416" t="s">
        <v>713</v>
      </c>
      <c r="J13" s="416" t="s">
        <v>406</v>
      </c>
      <c r="K13" s="416">
        <v>60</v>
      </c>
      <c r="L13" s="417">
        <f t="shared" si="1"/>
        <v>127.5</v>
      </c>
      <c r="M13" s="418" t="s">
        <v>60</v>
      </c>
      <c r="N13" s="26"/>
      <c r="O13" s="23"/>
      <c r="P13" s="91"/>
      <c r="Q13" s="91">
        <f t="shared" si="2"/>
        <v>0</v>
      </c>
    </row>
    <row r="14" spans="2:19" ht="20.100000000000001" customHeight="1">
      <c r="B14" s="86">
        <v>9</v>
      </c>
      <c r="C14" s="20" t="str">
        <f t="shared" si="0"/>
        <v>A1</v>
      </c>
      <c r="D14" s="20">
        <v>9</v>
      </c>
      <c r="E14" s="425" t="s">
        <v>372</v>
      </c>
      <c r="F14" s="20" t="s">
        <v>714</v>
      </c>
      <c r="G14" s="20" t="s">
        <v>389</v>
      </c>
      <c r="H14" s="20">
        <v>48</v>
      </c>
      <c r="I14" s="20" t="s">
        <v>715</v>
      </c>
      <c r="J14" s="20" t="s">
        <v>409</v>
      </c>
      <c r="K14" s="20">
        <v>53</v>
      </c>
      <c r="L14" s="21">
        <f t="shared" si="1"/>
        <v>101</v>
      </c>
      <c r="M14" s="22" t="s">
        <v>61</v>
      </c>
      <c r="N14" s="26"/>
      <c r="O14" s="23"/>
      <c r="P14" s="91"/>
      <c r="Q14" s="91">
        <f t="shared" si="2"/>
        <v>0</v>
      </c>
    </row>
    <row r="15" spans="2:19" ht="20.100000000000001" customHeight="1">
      <c r="B15" s="86">
        <v>10</v>
      </c>
      <c r="C15" s="23" t="str">
        <f t="shared" si="0"/>
        <v>B1</v>
      </c>
      <c r="D15" s="23">
        <v>10</v>
      </c>
      <c r="E15" s="403" t="s">
        <v>716</v>
      </c>
      <c r="F15" s="403" t="s">
        <v>717</v>
      </c>
      <c r="G15" s="403" t="s">
        <v>386</v>
      </c>
      <c r="H15" s="403">
        <v>45</v>
      </c>
      <c r="I15" s="403" t="s">
        <v>718</v>
      </c>
      <c r="J15" s="403" t="s">
        <v>407</v>
      </c>
      <c r="K15" s="403">
        <v>45</v>
      </c>
      <c r="L15" s="404">
        <f t="shared" si="1"/>
        <v>90</v>
      </c>
      <c r="M15" s="25" t="s">
        <v>639</v>
      </c>
      <c r="N15" s="26"/>
      <c r="O15" s="23"/>
      <c r="P15" s="91">
        <v>54</v>
      </c>
      <c r="Q15" s="91">
        <f t="shared" si="2"/>
        <v>27</v>
      </c>
    </row>
    <row r="16" spans="2:19" ht="20.100000000000001" customHeight="1">
      <c r="B16" s="86">
        <v>11</v>
      </c>
      <c r="C16" s="23" t="str">
        <f t="shared" si="0"/>
        <v>C1</v>
      </c>
      <c r="D16" s="23">
        <v>11</v>
      </c>
      <c r="E16" s="403" t="s">
        <v>379</v>
      </c>
      <c r="F16" s="23" t="s">
        <v>719</v>
      </c>
      <c r="G16" s="23" t="s">
        <v>403</v>
      </c>
      <c r="H16" s="403">
        <v>41.25</v>
      </c>
      <c r="I16" s="23" t="s">
        <v>720</v>
      </c>
      <c r="J16" s="23" t="s">
        <v>418</v>
      </c>
      <c r="K16" s="403">
        <v>41.25</v>
      </c>
      <c r="L16" s="24">
        <f t="shared" si="1"/>
        <v>82.5</v>
      </c>
      <c r="M16" s="25" t="s">
        <v>640</v>
      </c>
      <c r="N16" s="26"/>
      <c r="O16" s="23"/>
      <c r="P16" s="91"/>
      <c r="Q16" s="91">
        <f t="shared" si="2"/>
        <v>0</v>
      </c>
    </row>
    <row r="17" spans="2:17" ht="19.5" customHeight="1">
      <c r="B17" s="86">
        <v>12</v>
      </c>
      <c r="C17" s="23" t="str">
        <f t="shared" si="0"/>
        <v>D1</v>
      </c>
      <c r="D17" s="23">
        <v>12</v>
      </c>
      <c r="E17" s="403" t="s">
        <v>370</v>
      </c>
      <c r="F17" s="403" t="s">
        <v>721</v>
      </c>
      <c r="G17" s="403" t="s">
        <v>387</v>
      </c>
      <c r="H17" s="403">
        <v>28.5</v>
      </c>
      <c r="I17" s="403" t="s">
        <v>722</v>
      </c>
      <c r="J17" s="403" t="s">
        <v>408</v>
      </c>
      <c r="K17" s="403">
        <v>37.5</v>
      </c>
      <c r="L17" s="404">
        <f t="shared" si="1"/>
        <v>66</v>
      </c>
      <c r="M17" s="422" t="s">
        <v>290</v>
      </c>
      <c r="N17" s="26"/>
      <c r="O17" s="23"/>
      <c r="P17" s="91">
        <v>0</v>
      </c>
      <c r="Q17" s="91">
        <f t="shared" si="2"/>
        <v>0</v>
      </c>
    </row>
    <row r="18" spans="2:17" ht="20.100000000000001" customHeight="1">
      <c r="B18" s="87">
        <v>13</v>
      </c>
      <c r="C18" s="23" t="str">
        <f t="shared" si="0"/>
        <v>E1</v>
      </c>
      <c r="D18" s="23">
        <v>13</v>
      </c>
      <c r="E18" s="403" t="s">
        <v>364</v>
      </c>
      <c r="F18" s="403" t="s">
        <v>723</v>
      </c>
      <c r="G18" s="403" t="s">
        <v>382</v>
      </c>
      <c r="H18" s="403">
        <v>30</v>
      </c>
      <c r="I18" s="403" t="s">
        <v>724</v>
      </c>
      <c r="J18" s="403" t="s">
        <v>404</v>
      </c>
      <c r="K18" s="403">
        <v>30</v>
      </c>
      <c r="L18" s="404">
        <f t="shared" si="1"/>
        <v>60</v>
      </c>
      <c r="M18" s="25" t="s">
        <v>289</v>
      </c>
      <c r="N18" s="26"/>
      <c r="O18" s="23"/>
      <c r="P18" s="91"/>
      <c r="Q18" s="91">
        <f t="shared" si="2"/>
        <v>0</v>
      </c>
    </row>
    <row r="19" spans="2:17" ht="20.100000000000001" customHeight="1">
      <c r="B19" s="86">
        <v>14</v>
      </c>
      <c r="C19" s="23" t="str">
        <f t="shared" si="0"/>
        <v>F1</v>
      </c>
      <c r="D19" s="23">
        <v>14</v>
      </c>
      <c r="E19" s="403" t="s">
        <v>725</v>
      </c>
      <c r="F19" s="403" t="s">
        <v>726</v>
      </c>
      <c r="G19" s="403" t="s">
        <v>400</v>
      </c>
      <c r="H19" s="403">
        <v>18</v>
      </c>
      <c r="I19" s="403" t="s">
        <v>727</v>
      </c>
      <c r="J19" s="403" t="s">
        <v>415</v>
      </c>
      <c r="K19" s="403">
        <v>18</v>
      </c>
      <c r="L19" s="404">
        <f t="shared" si="1"/>
        <v>36</v>
      </c>
      <c r="M19" s="25" t="s">
        <v>635</v>
      </c>
      <c r="N19" s="26"/>
      <c r="O19" s="23"/>
      <c r="P19" s="91">
        <v>0</v>
      </c>
      <c r="Q19" s="91">
        <f t="shared" si="2"/>
        <v>0</v>
      </c>
    </row>
    <row r="20" spans="2:17" ht="20.100000000000001" customHeight="1">
      <c r="B20" s="86">
        <v>15</v>
      </c>
      <c r="C20" s="23" t="str">
        <f t="shared" si="0"/>
        <v>F2</v>
      </c>
      <c r="D20" s="23">
        <v>15</v>
      </c>
      <c r="E20" s="403" t="s">
        <v>375</v>
      </c>
      <c r="F20" s="23" t="s">
        <v>728</v>
      </c>
      <c r="G20" s="23" t="s">
        <v>399</v>
      </c>
      <c r="H20" s="403">
        <v>13.5</v>
      </c>
      <c r="I20" s="23" t="s">
        <v>729</v>
      </c>
      <c r="J20" s="23" t="s">
        <v>414</v>
      </c>
      <c r="K20" s="403">
        <v>13.5</v>
      </c>
      <c r="L20" s="24">
        <f t="shared" si="1"/>
        <v>27</v>
      </c>
      <c r="M20" s="25" t="s">
        <v>291</v>
      </c>
      <c r="N20" s="421"/>
      <c r="O20" s="23"/>
      <c r="P20" s="91">
        <v>0</v>
      </c>
      <c r="Q20" s="91">
        <f t="shared" si="2"/>
        <v>0</v>
      </c>
    </row>
    <row r="21" spans="2:17" ht="20.100000000000001" customHeight="1">
      <c r="B21" s="87">
        <v>16</v>
      </c>
      <c r="C21" s="23" t="str">
        <f t="shared" si="0"/>
        <v>E2</v>
      </c>
      <c r="D21" s="23">
        <v>16</v>
      </c>
      <c r="E21" s="403" t="s">
        <v>376</v>
      </c>
      <c r="F21" s="403" t="s">
        <v>730</v>
      </c>
      <c r="G21" s="403" t="s">
        <v>401</v>
      </c>
      <c r="H21" s="403">
        <v>9</v>
      </c>
      <c r="I21" s="403" t="s">
        <v>731</v>
      </c>
      <c r="J21" s="403" t="s">
        <v>416</v>
      </c>
      <c r="K21" s="403">
        <v>9</v>
      </c>
      <c r="L21" s="404">
        <f t="shared" si="1"/>
        <v>18</v>
      </c>
      <c r="M21" s="25" t="s">
        <v>306</v>
      </c>
      <c r="N21" s="26"/>
      <c r="O21" s="23"/>
      <c r="P21" s="91">
        <v>0</v>
      </c>
      <c r="Q21" s="91">
        <f t="shared" si="2"/>
        <v>0</v>
      </c>
    </row>
    <row r="22" spans="2:17" ht="20.100000000000001" customHeight="1">
      <c r="B22" s="86">
        <v>17</v>
      </c>
      <c r="C22" s="23" t="str">
        <f t="shared" si="0"/>
        <v>D2</v>
      </c>
      <c r="D22" s="23">
        <v>17</v>
      </c>
      <c r="E22" s="403" t="s">
        <v>369</v>
      </c>
      <c r="F22" s="403" t="s">
        <v>732</v>
      </c>
      <c r="G22" s="403" t="s">
        <v>396</v>
      </c>
      <c r="H22" s="403">
        <v>7.5</v>
      </c>
      <c r="I22" s="403" t="s">
        <v>733</v>
      </c>
      <c r="J22" s="403" t="s">
        <v>234</v>
      </c>
      <c r="K22" s="403">
        <v>7.5</v>
      </c>
      <c r="L22" s="404">
        <f t="shared" si="1"/>
        <v>15</v>
      </c>
      <c r="M22" s="25" t="s">
        <v>305</v>
      </c>
      <c r="N22" s="26"/>
      <c r="O22" s="23"/>
      <c r="P22" s="91">
        <v>0</v>
      </c>
      <c r="Q22" s="91">
        <f t="shared" si="2"/>
        <v>0</v>
      </c>
    </row>
    <row r="23" spans="2:17" ht="20.100000000000001" customHeight="1">
      <c r="B23" s="87">
        <v>18</v>
      </c>
      <c r="C23" s="23" t="str">
        <f t="shared" si="0"/>
        <v>C2</v>
      </c>
      <c r="D23" s="23">
        <v>18</v>
      </c>
      <c r="E23" s="403" t="s">
        <v>374</v>
      </c>
      <c r="F23" s="23" t="s">
        <v>734</v>
      </c>
      <c r="G23" s="23" t="s">
        <v>390</v>
      </c>
      <c r="H23" s="403">
        <v>8</v>
      </c>
      <c r="I23" s="23" t="s">
        <v>735</v>
      </c>
      <c r="J23" s="419" t="s">
        <v>69</v>
      </c>
      <c r="K23" s="403">
        <v>0</v>
      </c>
      <c r="L23" s="24">
        <f t="shared" si="1"/>
        <v>8</v>
      </c>
      <c r="M23" s="25" t="s">
        <v>304</v>
      </c>
      <c r="N23" s="421"/>
      <c r="O23" s="23"/>
      <c r="P23" s="91">
        <v>48</v>
      </c>
      <c r="Q23" s="91">
        <f t="shared" si="2"/>
        <v>24</v>
      </c>
    </row>
    <row r="24" spans="2:17" ht="20.100000000000001" customHeight="1">
      <c r="B24" s="86">
        <v>19</v>
      </c>
      <c r="C24" s="23" t="str">
        <f t="shared" si="0"/>
        <v>E3</v>
      </c>
      <c r="D24" s="23">
        <v>19</v>
      </c>
      <c r="E24" s="403" t="s">
        <v>365</v>
      </c>
      <c r="F24" s="403" t="s">
        <v>736</v>
      </c>
      <c r="G24" s="403" t="s">
        <v>383</v>
      </c>
      <c r="H24" s="403">
        <v>0</v>
      </c>
      <c r="I24" s="403" t="s">
        <v>737</v>
      </c>
      <c r="J24" s="403" t="s">
        <v>405</v>
      </c>
      <c r="K24" s="403">
        <v>0</v>
      </c>
      <c r="L24" s="404">
        <f t="shared" si="1"/>
        <v>0</v>
      </c>
      <c r="M24" s="122" t="s">
        <v>292</v>
      </c>
      <c r="N24" s="26" t="s">
        <v>695</v>
      </c>
      <c r="O24" s="23"/>
      <c r="P24" s="91">
        <v>72</v>
      </c>
      <c r="Q24" s="91">
        <f t="shared" si="2"/>
        <v>36</v>
      </c>
    </row>
    <row r="25" spans="2:17" ht="20.100000000000001" customHeight="1">
      <c r="B25" s="87">
        <v>20</v>
      </c>
      <c r="C25" s="23" t="str">
        <f t="shared" si="0"/>
        <v>F4</v>
      </c>
      <c r="D25" s="23">
        <v>19</v>
      </c>
      <c r="E25" s="403" t="s">
        <v>367</v>
      </c>
      <c r="F25" s="403" t="s">
        <v>738</v>
      </c>
      <c r="G25" s="403" t="s">
        <v>385</v>
      </c>
      <c r="H25" s="403">
        <v>0</v>
      </c>
      <c r="I25" s="403" t="s">
        <v>739</v>
      </c>
      <c r="J25" s="419" t="s">
        <v>69</v>
      </c>
      <c r="K25" s="403">
        <v>0</v>
      </c>
      <c r="L25" s="404">
        <f t="shared" si="1"/>
        <v>0</v>
      </c>
      <c r="M25" s="122" t="s">
        <v>632</v>
      </c>
      <c r="N25" s="26" t="s">
        <v>695</v>
      </c>
      <c r="O25" s="23"/>
      <c r="P25" s="91">
        <v>54</v>
      </c>
      <c r="Q25" s="91">
        <f t="shared" si="2"/>
        <v>27</v>
      </c>
    </row>
    <row r="26" spans="2:17" ht="20.100000000000001" customHeight="1">
      <c r="B26" s="86">
        <v>21</v>
      </c>
      <c r="C26" s="23" t="str">
        <f t="shared" si="0"/>
        <v>B2</v>
      </c>
      <c r="D26" s="23">
        <v>19</v>
      </c>
      <c r="E26" s="403" t="s">
        <v>368</v>
      </c>
      <c r="F26" s="403" t="s">
        <v>740</v>
      </c>
      <c r="G26" s="419" t="s">
        <v>69</v>
      </c>
      <c r="H26" s="403">
        <v>0</v>
      </c>
      <c r="I26" s="403" t="s">
        <v>741</v>
      </c>
      <c r="J26" s="419" t="s">
        <v>69</v>
      </c>
      <c r="K26" s="403">
        <v>0</v>
      </c>
      <c r="L26" s="404">
        <f t="shared" si="1"/>
        <v>0</v>
      </c>
      <c r="M26" s="122" t="s">
        <v>303</v>
      </c>
      <c r="N26" s="26" t="s">
        <v>695</v>
      </c>
      <c r="O26" s="23"/>
      <c r="P26" s="91">
        <v>72</v>
      </c>
      <c r="Q26" s="91">
        <f t="shared" si="2"/>
        <v>36</v>
      </c>
    </row>
    <row r="27" spans="2:17" ht="20.100000000000001" customHeight="1">
      <c r="B27" s="86">
        <v>22</v>
      </c>
      <c r="C27" s="23" t="str">
        <f t="shared" si="0"/>
        <v>A2</v>
      </c>
      <c r="D27" s="23">
        <v>19</v>
      </c>
      <c r="E27" s="403" t="s">
        <v>742</v>
      </c>
      <c r="F27" s="403" t="s">
        <v>743</v>
      </c>
      <c r="G27" s="403" t="s">
        <v>395</v>
      </c>
      <c r="H27" s="403">
        <v>0</v>
      </c>
      <c r="I27" s="403" t="s">
        <v>744</v>
      </c>
      <c r="J27" s="419" t="s">
        <v>69</v>
      </c>
      <c r="K27" s="403">
        <v>0</v>
      </c>
      <c r="L27" s="404">
        <f t="shared" si="1"/>
        <v>0</v>
      </c>
      <c r="M27" s="122" t="s">
        <v>302</v>
      </c>
      <c r="N27" s="26" t="s">
        <v>695</v>
      </c>
      <c r="O27" s="23"/>
      <c r="P27" s="91">
        <v>72</v>
      </c>
      <c r="Q27" s="91">
        <f t="shared" si="2"/>
        <v>36</v>
      </c>
    </row>
    <row r="28" spans="2:17" ht="20.100000000000001" customHeight="1">
      <c r="B28" s="86">
        <v>23</v>
      </c>
      <c r="C28" s="23" t="str">
        <f t="shared" si="0"/>
        <v>D3</v>
      </c>
      <c r="D28" s="23">
        <v>19</v>
      </c>
      <c r="E28" s="403" t="s">
        <v>381</v>
      </c>
      <c r="F28" s="23" t="s">
        <v>745</v>
      </c>
      <c r="G28" s="419" t="s">
        <v>69</v>
      </c>
      <c r="H28" s="403">
        <v>0</v>
      </c>
      <c r="I28" s="23" t="s">
        <v>746</v>
      </c>
      <c r="J28" s="419" t="s">
        <v>69</v>
      </c>
      <c r="K28" s="403">
        <v>0</v>
      </c>
      <c r="L28" s="24">
        <f t="shared" si="1"/>
        <v>0</v>
      </c>
      <c r="M28" s="122" t="s">
        <v>293</v>
      </c>
      <c r="N28" s="26" t="s">
        <v>695</v>
      </c>
      <c r="O28" s="23"/>
      <c r="P28" s="91">
        <v>72</v>
      </c>
      <c r="Q28" s="91">
        <f t="shared" si="2"/>
        <v>36</v>
      </c>
    </row>
    <row r="29" spans="2:17" ht="20.100000000000001" customHeight="1">
      <c r="B29" s="19">
        <v>24</v>
      </c>
      <c r="C29" s="23" t="str">
        <f t="shared" si="0"/>
        <v>F3</v>
      </c>
      <c r="D29" s="23">
        <v>19</v>
      </c>
      <c r="E29" s="403" t="s">
        <v>747</v>
      </c>
      <c r="F29" s="23" t="s">
        <v>748</v>
      </c>
      <c r="G29" s="419" t="s">
        <v>69</v>
      </c>
      <c r="H29" s="403">
        <v>0</v>
      </c>
      <c r="I29" s="23" t="s">
        <v>749</v>
      </c>
      <c r="J29" s="419" t="s">
        <v>69</v>
      </c>
      <c r="K29" s="403">
        <v>0</v>
      </c>
      <c r="L29" s="24">
        <f t="shared" si="1"/>
        <v>0</v>
      </c>
      <c r="M29" s="423" t="s">
        <v>636</v>
      </c>
      <c r="N29" s="26" t="s">
        <v>695</v>
      </c>
      <c r="O29" s="23"/>
      <c r="P29" s="91">
        <v>54</v>
      </c>
      <c r="Q29" s="91">
        <f t="shared" si="2"/>
        <v>27</v>
      </c>
    </row>
    <row r="30" spans="2:17" ht="20.100000000000001" customHeight="1">
      <c r="B30" s="86">
        <v>25</v>
      </c>
      <c r="C30" s="23" t="str">
        <f t="shared" si="0"/>
        <v>A3</v>
      </c>
      <c r="D30" s="23">
        <v>19</v>
      </c>
      <c r="E30" s="426" t="s">
        <v>373</v>
      </c>
      <c r="F30" s="107" t="s">
        <v>750</v>
      </c>
      <c r="G30" s="420" t="s">
        <v>69</v>
      </c>
      <c r="H30" s="403">
        <v>0</v>
      </c>
      <c r="I30" s="107" t="s">
        <v>751</v>
      </c>
      <c r="J30" s="420" t="s">
        <v>69</v>
      </c>
      <c r="K30" s="403">
        <v>0</v>
      </c>
      <c r="L30" s="24">
        <f t="shared" si="1"/>
        <v>0</v>
      </c>
      <c r="M30" s="424" t="s">
        <v>297</v>
      </c>
      <c r="N30" s="26" t="s">
        <v>695</v>
      </c>
      <c r="O30" s="23"/>
      <c r="P30" s="91">
        <v>0</v>
      </c>
      <c r="Q30" s="91">
        <f t="shared" si="2"/>
        <v>0</v>
      </c>
    </row>
    <row r="31" spans="2:17" ht="20.100000000000001" customHeight="1">
      <c r="B31" s="390">
        <v>26</v>
      </c>
      <c r="C31" s="30" t="str">
        <f t="shared" si="0"/>
        <v>C3</v>
      </c>
      <c r="D31" s="20">
        <v>19</v>
      </c>
      <c r="E31" s="425" t="s">
        <v>377</v>
      </c>
      <c r="F31" s="20" t="s">
        <v>752</v>
      </c>
      <c r="G31" s="20" t="s">
        <v>402</v>
      </c>
      <c r="H31" s="403">
        <v>0</v>
      </c>
      <c r="I31" s="20" t="s">
        <v>753</v>
      </c>
      <c r="J31" s="20" t="s">
        <v>417</v>
      </c>
      <c r="K31" s="403">
        <v>0</v>
      </c>
      <c r="L31" s="24">
        <f t="shared" si="1"/>
        <v>0</v>
      </c>
      <c r="M31" s="423" t="s">
        <v>630</v>
      </c>
      <c r="N31" s="26" t="s">
        <v>695</v>
      </c>
      <c r="O31" s="23"/>
      <c r="P31" s="91">
        <v>54</v>
      </c>
      <c r="Q31" s="91">
        <f t="shared" si="2"/>
        <v>27</v>
      </c>
    </row>
    <row r="32" spans="2:17" ht="19.5" customHeight="1">
      <c r="B32" s="476">
        <v>27</v>
      </c>
      <c r="C32" s="30" t="str">
        <f t="shared" si="0"/>
        <v>B3</v>
      </c>
      <c r="D32" s="107">
        <v>19</v>
      </c>
      <c r="E32" s="426" t="s">
        <v>378</v>
      </c>
      <c r="F32" s="107" t="s">
        <v>754</v>
      </c>
      <c r="G32" s="420" t="s">
        <v>69</v>
      </c>
      <c r="H32" s="403">
        <v>0</v>
      </c>
      <c r="I32" s="107" t="s">
        <v>755</v>
      </c>
      <c r="J32" s="420" t="s">
        <v>69</v>
      </c>
      <c r="K32" s="403">
        <v>0</v>
      </c>
      <c r="L32" s="429">
        <f t="shared" si="1"/>
        <v>0</v>
      </c>
      <c r="M32" s="430" t="s">
        <v>631</v>
      </c>
      <c r="N32" s="26" t="s">
        <v>695</v>
      </c>
      <c r="O32" s="23"/>
      <c r="P32" s="91">
        <v>48</v>
      </c>
      <c r="Q32" s="91">
        <f t="shared" si="2"/>
        <v>24</v>
      </c>
    </row>
    <row r="33" spans="2:15" ht="20.100000000000001" hidden="1" customHeight="1">
      <c r="B33" s="86">
        <v>28</v>
      </c>
      <c r="C33" s="23">
        <f t="shared" si="0"/>
        <v>0</v>
      </c>
      <c r="D33" s="401">
        <v>26</v>
      </c>
      <c r="E33" s="501"/>
      <c r="F33" s="501"/>
      <c r="G33" s="501"/>
      <c r="H33" s="501"/>
      <c r="I33" s="501"/>
      <c r="J33" s="501"/>
      <c r="K33" s="399"/>
      <c r="L33" s="21">
        <f>H32+K33</f>
        <v>0</v>
      </c>
      <c r="M33" s="174"/>
      <c r="N33" s="88"/>
      <c r="O33" s="23"/>
    </row>
    <row r="34" spans="2:15" ht="20.100000000000001" hidden="1" customHeight="1">
      <c r="B34" s="86">
        <v>29</v>
      </c>
      <c r="C34" s="23">
        <f t="shared" si="0"/>
        <v>0</v>
      </c>
      <c r="D34" s="23">
        <v>29</v>
      </c>
      <c r="E34" s="20"/>
      <c r="F34" s="20"/>
      <c r="G34" s="20"/>
      <c r="H34" s="400" t="e">
        <f>NA()</f>
        <v>#N/A</v>
      </c>
      <c r="I34" s="20"/>
      <c r="J34" s="20"/>
      <c r="K34" s="90" t="e">
        <f>NA()</f>
        <v>#N/A</v>
      </c>
      <c r="L34" s="24" t="e">
        <f t="shared" ref="L34:L77" si="3">H34+K34</f>
        <v>#N/A</v>
      </c>
      <c r="M34" s="148"/>
      <c r="N34" s="88"/>
      <c r="O34" s="23"/>
    </row>
    <row r="35" spans="2:15" ht="20.100000000000001" hidden="1" customHeight="1">
      <c r="B35" s="87">
        <v>30</v>
      </c>
      <c r="C35" s="23">
        <f t="shared" si="0"/>
        <v>0</v>
      </c>
      <c r="D35" s="23">
        <v>29</v>
      </c>
      <c r="E35" s="23"/>
      <c r="F35" s="23"/>
      <c r="G35" s="23"/>
      <c r="H35" s="89" t="e">
        <f>NA()</f>
        <v>#N/A</v>
      </c>
      <c r="I35" s="23"/>
      <c r="J35" s="23"/>
      <c r="K35" s="90" t="e">
        <f>NA()</f>
        <v>#N/A</v>
      </c>
      <c r="L35" s="24" t="e">
        <f t="shared" si="3"/>
        <v>#N/A</v>
      </c>
      <c r="M35" s="148"/>
      <c r="N35" s="88"/>
      <c r="O35" s="23"/>
    </row>
    <row r="36" spans="2:15" ht="20.100000000000001" hidden="1" customHeight="1">
      <c r="B36" s="86">
        <v>31</v>
      </c>
      <c r="C36" s="23">
        <f t="shared" si="0"/>
        <v>0</v>
      </c>
      <c r="D36" s="23">
        <v>29</v>
      </c>
      <c r="E36" s="23"/>
      <c r="F36" s="23"/>
      <c r="G36" s="23"/>
      <c r="H36" s="89" t="e">
        <f>NA()</f>
        <v>#N/A</v>
      </c>
      <c r="I36" s="23"/>
      <c r="J36" s="23"/>
      <c r="K36" s="90" t="e">
        <f>NA()</f>
        <v>#N/A</v>
      </c>
      <c r="L36" s="24" t="e">
        <f t="shared" si="3"/>
        <v>#N/A</v>
      </c>
      <c r="M36" s="148"/>
      <c r="N36" s="88"/>
      <c r="O36" s="23"/>
    </row>
    <row r="37" spans="2:15" ht="20.100000000000001" hidden="1" customHeight="1">
      <c r="B37" s="86">
        <v>32</v>
      </c>
      <c r="C37" s="23">
        <f t="shared" si="0"/>
        <v>0</v>
      </c>
      <c r="D37" s="23">
        <v>32</v>
      </c>
      <c r="E37" s="23"/>
      <c r="F37" s="23"/>
      <c r="G37" s="23"/>
      <c r="H37" s="89" t="e">
        <f>NA()</f>
        <v>#N/A</v>
      </c>
      <c r="I37" s="23"/>
      <c r="J37" s="23"/>
      <c r="K37" s="90" t="e">
        <f>NA()</f>
        <v>#N/A</v>
      </c>
      <c r="L37" s="24" t="e">
        <f t="shared" si="3"/>
        <v>#N/A</v>
      </c>
      <c r="M37" s="281"/>
      <c r="N37" s="162"/>
      <c r="O37" s="23"/>
    </row>
    <row r="38" spans="2:15" ht="20.100000000000001" hidden="1" customHeight="1">
      <c r="B38" s="87">
        <v>33</v>
      </c>
      <c r="C38" s="23">
        <f t="shared" ref="C38:C69" si="4">M38</f>
        <v>0</v>
      </c>
      <c r="D38" s="23">
        <v>33</v>
      </c>
      <c r="E38" s="23"/>
      <c r="F38" s="23"/>
      <c r="G38" s="23"/>
      <c r="H38" s="89" t="e">
        <f>NA()</f>
        <v>#N/A</v>
      </c>
      <c r="I38" s="23"/>
      <c r="J38" s="23"/>
      <c r="K38" s="90" t="e">
        <f>NA()</f>
        <v>#N/A</v>
      </c>
      <c r="L38" s="24" t="e">
        <f t="shared" si="3"/>
        <v>#N/A</v>
      </c>
      <c r="M38" s="148"/>
      <c r="N38" s="88"/>
      <c r="O38" s="23"/>
    </row>
    <row r="39" spans="2:15" ht="20.100000000000001" hidden="1" customHeight="1">
      <c r="B39" s="86">
        <v>34</v>
      </c>
      <c r="C39" s="23">
        <f t="shared" si="4"/>
        <v>0</v>
      </c>
      <c r="D39" s="23">
        <v>33</v>
      </c>
      <c r="E39" s="23"/>
      <c r="F39" s="23"/>
      <c r="G39" s="23"/>
      <c r="H39" s="89" t="e">
        <f>NA()</f>
        <v>#N/A</v>
      </c>
      <c r="I39" s="23"/>
      <c r="J39" s="23"/>
      <c r="K39" s="90" t="e">
        <f>NA()</f>
        <v>#N/A</v>
      </c>
      <c r="L39" s="24" t="e">
        <f t="shared" si="3"/>
        <v>#N/A</v>
      </c>
      <c r="M39" s="148"/>
      <c r="N39" s="88"/>
      <c r="O39" s="23"/>
    </row>
    <row r="40" spans="2:15" ht="20.100000000000001" hidden="1" customHeight="1">
      <c r="B40" s="86">
        <v>35</v>
      </c>
      <c r="C40" s="23">
        <f t="shared" si="4"/>
        <v>0</v>
      </c>
      <c r="D40" s="23">
        <v>33</v>
      </c>
      <c r="E40" s="23"/>
      <c r="F40" s="23"/>
      <c r="G40" s="23"/>
      <c r="H40" s="89" t="e">
        <f>NA()</f>
        <v>#N/A</v>
      </c>
      <c r="I40" s="23"/>
      <c r="J40" s="23"/>
      <c r="K40" s="90" t="e">
        <f>NA()</f>
        <v>#N/A</v>
      </c>
      <c r="L40" s="24" t="e">
        <f t="shared" si="3"/>
        <v>#N/A</v>
      </c>
      <c r="M40" s="148"/>
      <c r="N40" s="88"/>
      <c r="O40" s="23"/>
    </row>
    <row r="41" spans="2:15" ht="20.100000000000001" hidden="1" customHeight="1">
      <c r="B41" s="87">
        <v>36</v>
      </c>
      <c r="C41" s="23">
        <f t="shared" si="4"/>
        <v>0</v>
      </c>
      <c r="D41" s="23">
        <v>33</v>
      </c>
      <c r="E41" s="23"/>
      <c r="F41" s="23"/>
      <c r="G41" s="23"/>
      <c r="H41" s="89" t="e">
        <f>NA()</f>
        <v>#N/A</v>
      </c>
      <c r="I41" s="23"/>
      <c r="J41" s="23"/>
      <c r="K41" s="90" t="e">
        <f>NA()</f>
        <v>#N/A</v>
      </c>
      <c r="L41" s="24" t="e">
        <f t="shared" si="3"/>
        <v>#N/A</v>
      </c>
      <c r="M41" s="148"/>
      <c r="N41" s="88"/>
      <c r="O41" s="23"/>
    </row>
    <row r="42" spans="2:15" ht="20.100000000000001" hidden="1" customHeight="1">
      <c r="B42" s="86">
        <v>37</v>
      </c>
      <c r="C42" s="23">
        <f t="shared" si="4"/>
        <v>0</v>
      </c>
      <c r="D42" s="23">
        <v>33</v>
      </c>
      <c r="E42" s="23"/>
      <c r="F42" s="23"/>
      <c r="G42" s="23"/>
      <c r="H42" s="89" t="e">
        <f>NA()</f>
        <v>#N/A</v>
      </c>
      <c r="I42" s="23"/>
      <c r="J42" s="23"/>
      <c r="K42" s="90" t="e">
        <f>NA()</f>
        <v>#N/A</v>
      </c>
      <c r="L42" s="24" t="e">
        <f t="shared" si="3"/>
        <v>#N/A</v>
      </c>
      <c r="M42" s="148"/>
      <c r="N42" s="88"/>
      <c r="O42" s="23"/>
    </row>
    <row r="43" spans="2:15" hidden="1">
      <c r="B43" s="86">
        <v>38</v>
      </c>
      <c r="C43" s="23" t="str">
        <f t="shared" si="4"/>
        <v>A1</v>
      </c>
      <c r="D43" s="23">
        <v>34</v>
      </c>
      <c r="E43" s="91" t="s">
        <v>61</v>
      </c>
      <c r="F43" s="23" t="s">
        <v>82</v>
      </c>
      <c r="G43" s="23" t="s">
        <v>229</v>
      </c>
      <c r="H43" s="37">
        <v>1</v>
      </c>
      <c r="I43" s="23" t="s">
        <v>82</v>
      </c>
      <c r="J43" s="23" t="s">
        <v>69</v>
      </c>
      <c r="K43" s="37">
        <v>1</v>
      </c>
      <c r="L43" s="24">
        <f t="shared" si="3"/>
        <v>2</v>
      </c>
      <c r="M43" s="91" t="s">
        <v>61</v>
      </c>
    </row>
    <row r="44" spans="2:15" hidden="1">
      <c r="B44" s="87">
        <v>39</v>
      </c>
      <c r="C44" s="23" t="str">
        <f t="shared" si="4"/>
        <v>B1</v>
      </c>
      <c r="D44" s="23">
        <v>35</v>
      </c>
      <c r="E44" s="91" t="s">
        <v>62</v>
      </c>
      <c r="F44" s="23" t="s">
        <v>82</v>
      </c>
      <c r="G44" s="23" t="s">
        <v>230</v>
      </c>
      <c r="H44" s="37">
        <v>2</v>
      </c>
      <c r="I44" s="23" t="s">
        <v>82</v>
      </c>
      <c r="J44" s="23" t="s">
        <v>69</v>
      </c>
      <c r="K44" s="37">
        <v>2</v>
      </c>
      <c r="L44" s="24">
        <f t="shared" si="3"/>
        <v>4</v>
      </c>
      <c r="M44" s="91" t="s">
        <v>62</v>
      </c>
    </row>
    <row r="45" spans="2:15" hidden="1">
      <c r="B45" s="86">
        <v>40</v>
      </c>
      <c r="C45" s="23" t="str">
        <f t="shared" si="4"/>
        <v>C1</v>
      </c>
      <c r="D45" s="23">
        <v>36</v>
      </c>
      <c r="E45" s="91" t="s">
        <v>64</v>
      </c>
      <c r="F45" s="23" t="s">
        <v>82</v>
      </c>
      <c r="G45" s="23" t="s">
        <v>231</v>
      </c>
      <c r="H45" s="37">
        <v>3</v>
      </c>
      <c r="I45" s="23" t="s">
        <v>82</v>
      </c>
      <c r="J45" s="23" t="s">
        <v>69</v>
      </c>
      <c r="K45" s="37">
        <v>3</v>
      </c>
      <c r="L45" s="24">
        <f t="shared" si="3"/>
        <v>6</v>
      </c>
      <c r="M45" s="91" t="s">
        <v>64</v>
      </c>
    </row>
    <row r="46" spans="2:15" hidden="1">
      <c r="B46" s="86">
        <v>41</v>
      </c>
      <c r="C46" s="23" t="str">
        <f t="shared" si="4"/>
        <v>D1</v>
      </c>
      <c r="D46" s="23">
        <v>37</v>
      </c>
      <c r="E46" s="91" t="s">
        <v>65</v>
      </c>
      <c r="F46" s="23" t="s">
        <v>82</v>
      </c>
      <c r="G46" s="23" t="s">
        <v>232</v>
      </c>
      <c r="H46" s="37">
        <v>4</v>
      </c>
      <c r="I46" s="23" t="s">
        <v>82</v>
      </c>
      <c r="J46" s="23" t="s">
        <v>69</v>
      </c>
      <c r="K46" s="37">
        <v>4</v>
      </c>
      <c r="L46" s="24">
        <f t="shared" si="3"/>
        <v>8</v>
      </c>
      <c r="M46" s="91" t="s">
        <v>65</v>
      </c>
    </row>
    <row r="47" spans="2:15" hidden="1">
      <c r="B47" s="87">
        <v>42</v>
      </c>
      <c r="C47" s="23" t="str">
        <f t="shared" si="4"/>
        <v>E1</v>
      </c>
      <c r="D47" s="23">
        <v>38</v>
      </c>
      <c r="E47" s="91" t="s">
        <v>66</v>
      </c>
      <c r="F47" s="23" t="s">
        <v>82</v>
      </c>
      <c r="G47" s="23" t="s">
        <v>233</v>
      </c>
      <c r="H47" s="37">
        <v>5</v>
      </c>
      <c r="I47" s="23" t="s">
        <v>82</v>
      </c>
      <c r="J47" s="23" t="s">
        <v>69</v>
      </c>
      <c r="K47" s="37">
        <v>5</v>
      </c>
      <c r="L47" s="24">
        <f t="shared" si="3"/>
        <v>10</v>
      </c>
      <c r="M47" s="91" t="s">
        <v>66</v>
      </c>
    </row>
    <row r="48" spans="2:15" hidden="1">
      <c r="B48" s="86">
        <v>43</v>
      </c>
      <c r="C48" s="23" t="str">
        <f t="shared" si="4"/>
        <v>F1</v>
      </c>
      <c r="D48" s="23">
        <v>39</v>
      </c>
      <c r="E48" s="91" t="s">
        <v>67</v>
      </c>
      <c r="F48" s="23" t="s">
        <v>82</v>
      </c>
      <c r="G48" s="23" t="s">
        <v>234</v>
      </c>
      <c r="H48" s="37">
        <v>6</v>
      </c>
      <c r="I48" s="23" t="s">
        <v>82</v>
      </c>
      <c r="J48" s="23" t="s">
        <v>69</v>
      </c>
      <c r="K48" s="37">
        <v>6</v>
      </c>
      <c r="L48" s="24">
        <f t="shared" si="3"/>
        <v>12</v>
      </c>
      <c r="M48" s="91" t="s">
        <v>67</v>
      </c>
    </row>
    <row r="49" spans="2:13" hidden="1">
      <c r="B49" s="86">
        <v>44</v>
      </c>
      <c r="C49" s="23" t="str">
        <f t="shared" si="4"/>
        <v>G1</v>
      </c>
      <c r="D49" s="23">
        <v>40</v>
      </c>
      <c r="E49" s="91" t="s">
        <v>87</v>
      </c>
      <c r="F49" s="23" t="s">
        <v>82</v>
      </c>
      <c r="G49" s="23" t="s">
        <v>235</v>
      </c>
      <c r="H49" s="37">
        <v>7</v>
      </c>
      <c r="I49" s="23" t="s">
        <v>82</v>
      </c>
      <c r="J49" s="23" t="s">
        <v>69</v>
      </c>
      <c r="K49" s="37">
        <v>7</v>
      </c>
      <c r="L49" s="24">
        <f t="shared" si="3"/>
        <v>14</v>
      </c>
      <c r="M49" s="91" t="s">
        <v>87</v>
      </c>
    </row>
    <row r="50" spans="2:13" hidden="1">
      <c r="B50" s="87">
        <v>45</v>
      </c>
      <c r="C50" s="23" t="str">
        <f t="shared" si="4"/>
        <v>H1</v>
      </c>
      <c r="D50" s="23">
        <v>41</v>
      </c>
      <c r="E50" s="91" t="s">
        <v>88</v>
      </c>
      <c r="F50" s="23" t="s">
        <v>82</v>
      </c>
      <c r="G50" s="23" t="s">
        <v>236</v>
      </c>
      <c r="H50" s="37">
        <v>8</v>
      </c>
      <c r="I50" s="23" t="s">
        <v>82</v>
      </c>
      <c r="J50" s="23" t="s">
        <v>69</v>
      </c>
      <c r="K50" s="37">
        <v>8</v>
      </c>
      <c r="L50" s="24">
        <f t="shared" si="3"/>
        <v>16</v>
      </c>
      <c r="M50" s="91" t="s">
        <v>88</v>
      </c>
    </row>
    <row r="51" spans="2:13" hidden="1">
      <c r="B51" s="86">
        <v>46</v>
      </c>
      <c r="C51" s="23" t="str">
        <f t="shared" si="4"/>
        <v>A2</v>
      </c>
      <c r="D51" s="23">
        <v>42</v>
      </c>
      <c r="E51" s="91" t="s">
        <v>75</v>
      </c>
      <c r="F51" s="23" t="s">
        <v>82</v>
      </c>
      <c r="G51" s="23" t="s">
        <v>226</v>
      </c>
      <c r="H51" s="37">
        <v>9</v>
      </c>
      <c r="I51" s="23" t="s">
        <v>82</v>
      </c>
      <c r="J51" s="23" t="s">
        <v>69</v>
      </c>
      <c r="K51" s="37">
        <v>9</v>
      </c>
      <c r="L51" s="24">
        <f t="shared" si="3"/>
        <v>18</v>
      </c>
      <c r="M51" s="91" t="s">
        <v>75</v>
      </c>
    </row>
    <row r="52" spans="2:13" hidden="1">
      <c r="B52" s="86">
        <v>47</v>
      </c>
      <c r="C52" s="23" t="str">
        <f t="shared" si="4"/>
        <v>B2</v>
      </c>
      <c r="D52" s="23">
        <v>43</v>
      </c>
      <c r="E52" s="91" t="s">
        <v>74</v>
      </c>
      <c r="F52" s="23" t="s">
        <v>82</v>
      </c>
      <c r="G52" s="23" t="s">
        <v>237</v>
      </c>
      <c r="H52" s="37">
        <v>10</v>
      </c>
      <c r="I52" s="23" t="s">
        <v>82</v>
      </c>
      <c r="J52" s="23" t="s">
        <v>69</v>
      </c>
      <c r="K52" s="37">
        <v>10</v>
      </c>
      <c r="L52" s="24">
        <f t="shared" si="3"/>
        <v>20</v>
      </c>
      <c r="M52" s="91" t="s">
        <v>74</v>
      </c>
    </row>
    <row r="53" spans="2:13" hidden="1">
      <c r="B53" s="87">
        <v>48</v>
      </c>
      <c r="C53" s="23" t="str">
        <f t="shared" si="4"/>
        <v>C2</v>
      </c>
      <c r="D53" s="23">
        <v>44</v>
      </c>
      <c r="E53" s="91" t="s">
        <v>73</v>
      </c>
      <c r="F53" s="23" t="s">
        <v>82</v>
      </c>
      <c r="G53" s="23" t="s">
        <v>238</v>
      </c>
      <c r="H53" s="37">
        <v>11</v>
      </c>
      <c r="I53" s="23" t="s">
        <v>82</v>
      </c>
      <c r="J53" s="23" t="s">
        <v>69</v>
      </c>
      <c r="K53" s="37">
        <v>11</v>
      </c>
      <c r="L53" s="24">
        <f t="shared" si="3"/>
        <v>22</v>
      </c>
      <c r="M53" s="91" t="s">
        <v>73</v>
      </c>
    </row>
    <row r="54" spans="2:13" hidden="1">
      <c r="B54" s="86">
        <v>49</v>
      </c>
      <c r="C54" s="23" t="str">
        <f t="shared" si="4"/>
        <v>D2</v>
      </c>
      <c r="D54" s="23">
        <v>45</v>
      </c>
      <c r="E54" s="91" t="s">
        <v>71</v>
      </c>
      <c r="F54" s="23" t="s">
        <v>82</v>
      </c>
      <c r="G54" s="23" t="s">
        <v>239</v>
      </c>
      <c r="H54" s="37">
        <v>12</v>
      </c>
      <c r="I54" s="23" t="s">
        <v>82</v>
      </c>
      <c r="J54" s="23" t="s">
        <v>69</v>
      </c>
      <c r="K54" s="37">
        <v>12</v>
      </c>
      <c r="L54" s="24">
        <f t="shared" si="3"/>
        <v>24</v>
      </c>
      <c r="M54" s="91" t="s">
        <v>71</v>
      </c>
    </row>
    <row r="55" spans="2:13" hidden="1">
      <c r="B55" s="86">
        <v>50</v>
      </c>
      <c r="C55" s="23" t="str">
        <f t="shared" si="4"/>
        <v>F2</v>
      </c>
      <c r="D55" s="23">
        <v>46</v>
      </c>
      <c r="E55" s="91" t="s">
        <v>91</v>
      </c>
      <c r="F55" s="23" t="s">
        <v>82</v>
      </c>
      <c r="G55" s="23" t="s">
        <v>240</v>
      </c>
      <c r="H55" s="37">
        <v>13</v>
      </c>
      <c r="I55" s="23" t="s">
        <v>82</v>
      </c>
      <c r="J55" s="23" t="s">
        <v>69</v>
      </c>
      <c r="K55" s="37">
        <v>13</v>
      </c>
      <c r="L55" s="24">
        <f t="shared" si="3"/>
        <v>26</v>
      </c>
      <c r="M55" s="91" t="s">
        <v>91</v>
      </c>
    </row>
    <row r="56" spans="2:13" hidden="1">
      <c r="B56" s="87">
        <v>51</v>
      </c>
      <c r="C56" s="23" t="str">
        <f t="shared" si="4"/>
        <v>F2</v>
      </c>
      <c r="D56" s="23">
        <v>47</v>
      </c>
      <c r="E56" s="91" t="s">
        <v>91</v>
      </c>
      <c r="F56" s="23" t="s">
        <v>82</v>
      </c>
      <c r="G56" s="23" t="s">
        <v>241</v>
      </c>
      <c r="H56" s="37">
        <v>14</v>
      </c>
      <c r="I56" s="23" t="s">
        <v>82</v>
      </c>
      <c r="J56" s="23" t="s">
        <v>69</v>
      </c>
      <c r="K56" s="37">
        <v>14</v>
      </c>
      <c r="L56" s="24">
        <f t="shared" si="3"/>
        <v>28</v>
      </c>
      <c r="M56" s="91" t="s">
        <v>91</v>
      </c>
    </row>
    <row r="57" spans="2:13" hidden="1">
      <c r="B57" s="86">
        <v>52</v>
      </c>
      <c r="C57" s="23" t="str">
        <f t="shared" si="4"/>
        <v>H2</v>
      </c>
      <c r="D57" s="23">
        <v>48</v>
      </c>
      <c r="E57" s="91" t="s">
        <v>68</v>
      </c>
      <c r="F57" s="23" t="s">
        <v>82</v>
      </c>
      <c r="G57" s="23" t="s">
        <v>242</v>
      </c>
      <c r="H57" s="37">
        <v>15</v>
      </c>
      <c r="I57" s="23" t="s">
        <v>82</v>
      </c>
      <c r="J57" s="23" t="s">
        <v>69</v>
      </c>
      <c r="K57" s="37">
        <v>15</v>
      </c>
      <c r="L57" s="24">
        <f t="shared" si="3"/>
        <v>30</v>
      </c>
      <c r="M57" s="91" t="s">
        <v>68</v>
      </c>
    </row>
    <row r="58" spans="2:13" hidden="1">
      <c r="B58" s="86">
        <v>53</v>
      </c>
      <c r="C58" s="23" t="str">
        <f t="shared" si="4"/>
        <v>A3</v>
      </c>
      <c r="D58" s="23">
        <v>49</v>
      </c>
      <c r="E58" s="91" t="s">
        <v>94</v>
      </c>
      <c r="F58" s="23" t="s">
        <v>82</v>
      </c>
      <c r="G58" s="23" t="s">
        <v>243</v>
      </c>
      <c r="H58" s="37">
        <v>16</v>
      </c>
      <c r="I58" s="23" t="s">
        <v>82</v>
      </c>
      <c r="J58" s="23" t="s">
        <v>69</v>
      </c>
      <c r="K58" s="37">
        <v>16</v>
      </c>
      <c r="L58" s="24">
        <f t="shared" si="3"/>
        <v>32</v>
      </c>
      <c r="M58" s="92" t="s">
        <v>94</v>
      </c>
    </row>
    <row r="59" spans="2:13" hidden="1">
      <c r="B59" s="87">
        <v>54</v>
      </c>
      <c r="C59" s="23" t="str">
        <f t="shared" si="4"/>
        <v>B3</v>
      </c>
      <c r="D59" s="23">
        <v>50</v>
      </c>
      <c r="E59" s="91" t="s">
        <v>95</v>
      </c>
      <c r="F59" s="23" t="s">
        <v>82</v>
      </c>
      <c r="G59" s="23" t="s">
        <v>244</v>
      </c>
      <c r="H59" s="37">
        <v>17</v>
      </c>
      <c r="I59" s="23" t="s">
        <v>82</v>
      </c>
      <c r="J59" s="23" t="s">
        <v>69</v>
      </c>
      <c r="K59" s="37">
        <v>17</v>
      </c>
      <c r="L59" s="24">
        <f t="shared" si="3"/>
        <v>34</v>
      </c>
      <c r="M59" s="92" t="s">
        <v>95</v>
      </c>
    </row>
    <row r="60" spans="2:13" hidden="1">
      <c r="B60" s="86">
        <v>55</v>
      </c>
      <c r="C60" s="23" t="str">
        <f t="shared" si="4"/>
        <v>C3</v>
      </c>
      <c r="D60" s="23">
        <v>51</v>
      </c>
      <c r="E60" s="91" t="s">
        <v>77</v>
      </c>
      <c r="F60" s="23" t="s">
        <v>82</v>
      </c>
      <c r="G60" s="23" t="s">
        <v>227</v>
      </c>
      <c r="H60" s="37">
        <v>18</v>
      </c>
      <c r="I60" s="23" t="s">
        <v>82</v>
      </c>
      <c r="J60" s="23" t="s">
        <v>69</v>
      </c>
      <c r="K60" s="37">
        <v>18</v>
      </c>
      <c r="L60" s="24">
        <f t="shared" si="3"/>
        <v>36</v>
      </c>
      <c r="M60" s="92" t="s">
        <v>77</v>
      </c>
    </row>
    <row r="61" spans="2:13" hidden="1">
      <c r="B61" s="86">
        <v>56</v>
      </c>
      <c r="C61" s="23" t="str">
        <f t="shared" si="4"/>
        <v>D3</v>
      </c>
      <c r="D61" s="23">
        <v>52</v>
      </c>
      <c r="E61" s="91" t="s">
        <v>97</v>
      </c>
      <c r="F61" s="23" t="s">
        <v>82</v>
      </c>
      <c r="G61" s="23" t="s">
        <v>245</v>
      </c>
      <c r="H61" s="37">
        <v>19</v>
      </c>
      <c r="I61" s="23" t="s">
        <v>82</v>
      </c>
      <c r="J61" s="23" t="s">
        <v>69</v>
      </c>
      <c r="K61" s="37">
        <v>19</v>
      </c>
      <c r="L61" s="24">
        <f t="shared" si="3"/>
        <v>38</v>
      </c>
      <c r="M61" s="92" t="s">
        <v>97</v>
      </c>
    </row>
    <row r="62" spans="2:13" hidden="1">
      <c r="B62" s="87">
        <v>57</v>
      </c>
      <c r="C62" s="23" t="str">
        <f t="shared" si="4"/>
        <v>E3</v>
      </c>
      <c r="D62" s="23">
        <v>53</v>
      </c>
      <c r="E62" s="91" t="s">
        <v>99</v>
      </c>
      <c r="F62" s="23" t="s">
        <v>82</v>
      </c>
      <c r="G62" s="23" t="s">
        <v>246</v>
      </c>
      <c r="H62" s="37">
        <v>20</v>
      </c>
      <c r="I62" s="23" t="s">
        <v>82</v>
      </c>
      <c r="J62" s="23" t="s">
        <v>69</v>
      </c>
      <c r="K62" s="37">
        <v>20</v>
      </c>
      <c r="L62" s="24">
        <f t="shared" si="3"/>
        <v>40</v>
      </c>
      <c r="M62" s="92" t="s">
        <v>99</v>
      </c>
    </row>
    <row r="63" spans="2:13" hidden="1">
      <c r="B63" s="86">
        <v>58</v>
      </c>
      <c r="C63" s="23" t="str">
        <f t="shared" si="4"/>
        <v>F3</v>
      </c>
      <c r="D63" s="23">
        <v>54</v>
      </c>
      <c r="E63" s="91" t="s">
        <v>78</v>
      </c>
      <c r="F63" s="23" t="s">
        <v>82</v>
      </c>
      <c r="G63" s="23" t="s">
        <v>247</v>
      </c>
      <c r="H63" s="37">
        <v>21</v>
      </c>
      <c r="I63" s="23" t="s">
        <v>82</v>
      </c>
      <c r="J63" s="23" t="s">
        <v>69</v>
      </c>
      <c r="K63" s="37">
        <v>21</v>
      </c>
      <c r="L63" s="24">
        <f t="shared" si="3"/>
        <v>42</v>
      </c>
      <c r="M63" s="92" t="s">
        <v>78</v>
      </c>
    </row>
    <row r="64" spans="2:13" hidden="1">
      <c r="B64" s="86">
        <v>59</v>
      </c>
      <c r="C64" s="23" t="str">
        <f t="shared" si="4"/>
        <v>G3</v>
      </c>
      <c r="D64" s="23">
        <v>55</v>
      </c>
      <c r="E64" s="91" t="s">
        <v>248</v>
      </c>
      <c r="F64" s="23" t="s">
        <v>82</v>
      </c>
      <c r="G64" s="23" t="s">
        <v>249</v>
      </c>
      <c r="H64" s="37">
        <v>22</v>
      </c>
      <c r="I64" s="23" t="s">
        <v>82</v>
      </c>
      <c r="J64" s="23" t="s">
        <v>69</v>
      </c>
      <c r="K64" s="37">
        <v>22</v>
      </c>
      <c r="L64" s="24">
        <f t="shared" si="3"/>
        <v>44</v>
      </c>
      <c r="M64" s="92" t="s">
        <v>79</v>
      </c>
    </row>
    <row r="65" spans="2:13" hidden="1">
      <c r="B65" s="87">
        <v>60</v>
      </c>
      <c r="C65" s="23" t="str">
        <f t="shared" si="4"/>
        <v>H3</v>
      </c>
      <c r="D65" s="23">
        <v>56</v>
      </c>
      <c r="E65" s="91" t="s">
        <v>250</v>
      </c>
      <c r="F65" s="23" t="s">
        <v>82</v>
      </c>
      <c r="G65" s="23" t="s">
        <v>251</v>
      </c>
      <c r="H65" s="37">
        <v>23</v>
      </c>
      <c r="I65" s="23" t="s">
        <v>82</v>
      </c>
      <c r="J65" s="23" t="s">
        <v>69</v>
      </c>
      <c r="K65" s="37">
        <v>23</v>
      </c>
      <c r="L65" s="24">
        <f t="shared" si="3"/>
        <v>46</v>
      </c>
      <c r="M65" s="92" t="s">
        <v>80</v>
      </c>
    </row>
    <row r="66" spans="2:13" hidden="1">
      <c r="B66" s="87">
        <v>60</v>
      </c>
      <c r="C66" s="23" t="str">
        <f t="shared" si="4"/>
        <v>A3</v>
      </c>
      <c r="E66" s="91" t="s">
        <v>94</v>
      </c>
      <c r="F66" s="23" t="s">
        <v>82</v>
      </c>
      <c r="G66" s="23" t="s">
        <v>252</v>
      </c>
      <c r="H66" s="37">
        <v>23</v>
      </c>
      <c r="I66" s="23" t="s">
        <v>82</v>
      </c>
      <c r="J66" s="23" t="s">
        <v>69</v>
      </c>
      <c r="K66" s="37">
        <v>24</v>
      </c>
      <c r="L66" s="24">
        <f t="shared" si="3"/>
        <v>47</v>
      </c>
      <c r="M66" s="91" t="s">
        <v>94</v>
      </c>
    </row>
    <row r="67" spans="2:13" hidden="1">
      <c r="B67" s="87">
        <v>60</v>
      </c>
      <c r="C67" s="23" t="str">
        <f t="shared" si="4"/>
        <v>B3</v>
      </c>
      <c r="D67" s="91"/>
      <c r="E67" s="93" t="s">
        <v>95</v>
      </c>
      <c r="F67" s="23" t="s">
        <v>82</v>
      </c>
      <c r="G67" s="23" t="s">
        <v>253</v>
      </c>
      <c r="H67" s="37">
        <v>23</v>
      </c>
      <c r="I67" s="23" t="s">
        <v>82</v>
      </c>
      <c r="J67" s="23" t="s">
        <v>69</v>
      </c>
      <c r="K67" s="37">
        <v>25</v>
      </c>
      <c r="L67" s="24">
        <f t="shared" si="3"/>
        <v>48</v>
      </c>
      <c r="M67" s="93" t="s">
        <v>95</v>
      </c>
    </row>
    <row r="68" spans="2:13" hidden="1">
      <c r="B68" s="87">
        <v>60</v>
      </c>
      <c r="C68" s="23" t="str">
        <f t="shared" si="4"/>
        <v>C3</v>
      </c>
      <c r="E68" s="94" t="s">
        <v>77</v>
      </c>
      <c r="F68" s="23" t="s">
        <v>82</v>
      </c>
      <c r="G68" s="23" t="s">
        <v>254</v>
      </c>
      <c r="H68" s="37">
        <v>23</v>
      </c>
      <c r="I68" s="23" t="s">
        <v>82</v>
      </c>
      <c r="J68" s="23" t="s">
        <v>69</v>
      </c>
      <c r="K68" s="37">
        <v>26</v>
      </c>
      <c r="L68" s="24">
        <f t="shared" si="3"/>
        <v>49</v>
      </c>
      <c r="M68" s="94" t="s">
        <v>77</v>
      </c>
    </row>
    <row r="69" spans="2:13" hidden="1">
      <c r="B69" s="87">
        <v>60</v>
      </c>
      <c r="C69" s="23" t="str">
        <f t="shared" si="4"/>
        <v>D3</v>
      </c>
      <c r="E69" s="94" t="s">
        <v>97</v>
      </c>
      <c r="F69" s="23" t="s">
        <v>82</v>
      </c>
      <c r="G69" s="23" t="s">
        <v>255</v>
      </c>
      <c r="H69" s="37">
        <v>23</v>
      </c>
      <c r="I69" s="23" t="s">
        <v>82</v>
      </c>
      <c r="J69" s="23" t="s">
        <v>69</v>
      </c>
      <c r="K69" s="37">
        <v>27</v>
      </c>
      <c r="L69" s="24">
        <f t="shared" si="3"/>
        <v>50</v>
      </c>
      <c r="M69" s="94" t="s">
        <v>97</v>
      </c>
    </row>
    <row r="70" spans="2:13" hidden="1">
      <c r="B70" s="87">
        <v>60</v>
      </c>
      <c r="C70" s="23" t="str">
        <f t="shared" ref="C70:C77" si="5">M70</f>
        <v>E3</v>
      </c>
      <c r="E70" s="94" t="s">
        <v>99</v>
      </c>
      <c r="F70" s="23" t="s">
        <v>82</v>
      </c>
      <c r="G70" s="23" t="s">
        <v>256</v>
      </c>
      <c r="H70" s="37">
        <v>23</v>
      </c>
      <c r="I70" s="23" t="s">
        <v>82</v>
      </c>
      <c r="J70" s="23" t="s">
        <v>69</v>
      </c>
      <c r="K70" s="37">
        <v>28</v>
      </c>
      <c r="L70" s="24">
        <f t="shared" si="3"/>
        <v>51</v>
      </c>
      <c r="M70" s="94" t="s">
        <v>99</v>
      </c>
    </row>
    <row r="71" spans="2:13" hidden="1">
      <c r="B71" s="87">
        <v>60</v>
      </c>
      <c r="C71" s="23" t="str">
        <f t="shared" si="5"/>
        <v>F3</v>
      </c>
      <c r="E71" s="94" t="s">
        <v>78</v>
      </c>
      <c r="F71" s="23" t="s">
        <v>82</v>
      </c>
      <c r="G71" s="23" t="s">
        <v>257</v>
      </c>
      <c r="H71" s="37">
        <v>24</v>
      </c>
      <c r="I71" s="23" t="s">
        <v>82</v>
      </c>
      <c r="J71" s="23" t="s">
        <v>69</v>
      </c>
      <c r="K71" s="37">
        <v>29</v>
      </c>
      <c r="L71" s="24">
        <f t="shared" si="3"/>
        <v>53</v>
      </c>
      <c r="M71" s="94" t="s">
        <v>78</v>
      </c>
    </row>
    <row r="72" spans="2:13" hidden="1">
      <c r="B72" s="87">
        <v>60</v>
      </c>
      <c r="C72" s="23" t="str">
        <f t="shared" si="5"/>
        <v>AB3</v>
      </c>
      <c r="E72" s="94" t="s">
        <v>118</v>
      </c>
      <c r="F72" s="23" t="s">
        <v>82</v>
      </c>
      <c r="G72" s="23" t="s">
        <v>258</v>
      </c>
      <c r="H72" s="37">
        <v>25</v>
      </c>
      <c r="I72" s="23" t="s">
        <v>82</v>
      </c>
      <c r="J72" s="23" t="s">
        <v>69</v>
      </c>
      <c r="K72" s="37">
        <v>30</v>
      </c>
      <c r="L72" s="24">
        <f t="shared" si="3"/>
        <v>55</v>
      </c>
      <c r="M72" s="94" t="s">
        <v>118</v>
      </c>
    </row>
    <row r="73" spans="2:13" hidden="1">
      <c r="B73" s="87">
        <v>60</v>
      </c>
      <c r="C73" s="23" t="str">
        <f t="shared" si="5"/>
        <v>AB4</v>
      </c>
      <c r="E73" s="91" t="s">
        <v>259</v>
      </c>
      <c r="F73" s="23" t="s">
        <v>82</v>
      </c>
      <c r="G73" s="23" t="s">
        <v>260</v>
      </c>
      <c r="H73" s="37">
        <v>26</v>
      </c>
      <c r="I73" s="23" t="s">
        <v>82</v>
      </c>
      <c r="J73" s="23" t="s">
        <v>69</v>
      </c>
      <c r="K73" s="37">
        <v>31</v>
      </c>
      <c r="L73" s="24">
        <f t="shared" si="3"/>
        <v>57</v>
      </c>
      <c r="M73" s="92" t="s">
        <v>119</v>
      </c>
    </row>
    <row r="74" spans="2:13" hidden="1">
      <c r="C74" s="23" t="str">
        <f t="shared" si="5"/>
        <v>A4</v>
      </c>
      <c r="E74" s="91" t="s">
        <v>102</v>
      </c>
      <c r="F74" s="23" t="s">
        <v>82</v>
      </c>
      <c r="G74" s="23" t="s">
        <v>261</v>
      </c>
      <c r="H74" s="37">
        <v>27</v>
      </c>
      <c r="I74" s="23" t="s">
        <v>82</v>
      </c>
      <c r="J74" s="23" t="s">
        <v>69</v>
      </c>
      <c r="K74" s="37">
        <v>32</v>
      </c>
      <c r="L74" s="24">
        <f t="shared" si="3"/>
        <v>59</v>
      </c>
      <c r="M74" s="92" t="s">
        <v>102</v>
      </c>
    </row>
    <row r="75" spans="2:13" hidden="1">
      <c r="C75" s="23" t="str">
        <f t="shared" si="5"/>
        <v>B4</v>
      </c>
      <c r="E75" s="91" t="s">
        <v>104</v>
      </c>
      <c r="F75" s="23" t="s">
        <v>82</v>
      </c>
      <c r="G75" s="23" t="s">
        <v>262</v>
      </c>
      <c r="H75" s="37">
        <v>28</v>
      </c>
      <c r="I75" s="23" t="s">
        <v>82</v>
      </c>
      <c r="J75" s="23" t="s">
        <v>69</v>
      </c>
      <c r="K75" s="37">
        <v>33</v>
      </c>
      <c r="L75" s="24">
        <f t="shared" si="3"/>
        <v>61</v>
      </c>
      <c r="M75" s="92" t="s">
        <v>104</v>
      </c>
    </row>
    <row r="76" spans="2:13" hidden="1">
      <c r="C76" s="23" t="str">
        <f t="shared" si="5"/>
        <v>C4</v>
      </c>
      <c r="E76" s="91" t="s">
        <v>105</v>
      </c>
      <c r="F76" s="23" t="s">
        <v>82</v>
      </c>
      <c r="G76" s="23" t="s">
        <v>263</v>
      </c>
      <c r="H76" s="37">
        <v>29</v>
      </c>
      <c r="I76" s="23" t="s">
        <v>82</v>
      </c>
      <c r="J76" s="23" t="s">
        <v>69</v>
      </c>
      <c r="K76" s="37">
        <v>34</v>
      </c>
      <c r="L76" s="24">
        <f t="shared" si="3"/>
        <v>63</v>
      </c>
      <c r="M76" s="92" t="s">
        <v>105</v>
      </c>
    </row>
    <row r="77" spans="2:13" hidden="1">
      <c r="C77" s="23" t="str">
        <f t="shared" si="5"/>
        <v>D4</v>
      </c>
      <c r="E77" s="91" t="s">
        <v>107</v>
      </c>
      <c r="F77" s="23" t="s">
        <v>82</v>
      </c>
      <c r="G77" s="23" t="s">
        <v>228</v>
      </c>
      <c r="H77" s="37">
        <v>30</v>
      </c>
      <c r="I77" s="23" t="s">
        <v>82</v>
      </c>
      <c r="J77" s="23" t="s">
        <v>69</v>
      </c>
      <c r="K77" s="37">
        <v>35</v>
      </c>
      <c r="L77" s="24">
        <f t="shared" si="3"/>
        <v>65</v>
      </c>
      <c r="M77" s="92" t="s">
        <v>107</v>
      </c>
    </row>
  </sheetData>
  <sheetProtection selectLockedCells="1" selectUnlockedCells="1"/>
  <phoneticPr fontId="49" type="noConversion"/>
  <printOptions horizontalCentered="1"/>
  <pageMargins left="0.25" right="0.25" top="0.75" bottom="0.75" header="0.51180555555555551" footer="0.51180555555555551"/>
  <pageSetup paperSize="9" scale="52" firstPageNumber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J48"/>
  <sheetViews>
    <sheetView zoomScale="80" zoomScaleNormal="80" workbookViewId="0"/>
  </sheetViews>
  <sheetFormatPr defaultColWidth="7.6640625" defaultRowHeight="15.75"/>
  <cols>
    <col min="1" max="1" width="3.6640625" style="43" customWidth="1"/>
    <col min="2" max="2" width="16.6640625" style="43" customWidth="1"/>
    <col min="3" max="3" width="17.109375" style="43" customWidth="1"/>
    <col min="4" max="4" width="18.6640625" style="43" customWidth="1"/>
    <col min="5" max="5" width="16.6640625" style="43" customWidth="1"/>
    <col min="6" max="6" width="17.6640625" style="43" customWidth="1"/>
    <col min="7" max="7" width="17" style="43" customWidth="1"/>
    <col min="8" max="11" width="10.6640625" style="43" customWidth="1"/>
    <col min="12" max="16384" width="7.6640625" style="43"/>
  </cols>
  <sheetData>
    <row r="1" spans="3:6">
      <c r="C1" s="179" t="s">
        <v>756</v>
      </c>
      <c r="D1" s="180"/>
      <c r="E1" s="180"/>
      <c r="F1" s="181"/>
    </row>
    <row r="2" spans="3:6">
      <c r="C2" s="179"/>
      <c r="D2" s="180"/>
      <c r="E2" s="180"/>
      <c r="F2" s="181"/>
    </row>
    <row r="3" spans="3:6">
      <c r="C3" s="179" t="s">
        <v>340</v>
      </c>
      <c r="D3" s="180"/>
      <c r="E3" s="180"/>
      <c r="F3" s="181"/>
    </row>
    <row r="4" spans="3:6">
      <c r="C4" s="179" t="s">
        <v>341</v>
      </c>
      <c r="D4" s="180"/>
      <c r="E4" s="180"/>
      <c r="F4" s="181"/>
    </row>
    <row r="5" spans="3:6">
      <c r="C5" s="179" t="s">
        <v>698</v>
      </c>
      <c r="D5" s="180"/>
      <c r="E5" s="180"/>
      <c r="F5" s="181"/>
    </row>
    <row r="6" spans="3:6">
      <c r="C6" s="182" t="s">
        <v>133</v>
      </c>
      <c r="D6" s="182" t="s">
        <v>53</v>
      </c>
      <c r="E6" s="183"/>
      <c r="F6" s="181"/>
    </row>
    <row r="7" spans="3:6">
      <c r="C7" s="182" t="s">
        <v>134</v>
      </c>
      <c r="D7" s="182" t="s">
        <v>54</v>
      </c>
      <c r="E7" s="183"/>
      <c r="F7" s="181"/>
    </row>
    <row r="8" spans="3:6">
      <c r="C8" s="182" t="s">
        <v>135</v>
      </c>
      <c r="D8" s="182" t="s">
        <v>55</v>
      </c>
      <c r="E8" s="183"/>
      <c r="F8" s="181"/>
    </row>
    <row r="9" spans="3:6">
      <c r="C9" s="182" t="s">
        <v>136</v>
      </c>
      <c r="D9" s="182" t="s">
        <v>56</v>
      </c>
      <c r="E9" s="183"/>
      <c r="F9" s="181"/>
    </row>
    <row r="10" spans="3:6">
      <c r="C10" s="182" t="s">
        <v>137</v>
      </c>
      <c r="D10" s="182" t="s">
        <v>57</v>
      </c>
      <c r="E10" s="183"/>
      <c r="F10" s="181"/>
    </row>
    <row r="11" spans="3:6">
      <c r="C11" s="182" t="s">
        <v>138</v>
      </c>
      <c r="D11" s="182" t="s">
        <v>58</v>
      </c>
      <c r="E11" s="183"/>
      <c r="F11" s="181"/>
    </row>
    <row r="12" spans="3:6">
      <c r="C12" s="182" t="s">
        <v>139</v>
      </c>
      <c r="D12" s="182" t="s">
        <v>59</v>
      </c>
      <c r="E12" s="183"/>
      <c r="F12" s="181"/>
    </row>
    <row r="13" spans="3:6">
      <c r="C13" s="182" t="s">
        <v>140</v>
      </c>
      <c r="D13" s="182" t="s">
        <v>60</v>
      </c>
      <c r="E13" s="183"/>
      <c r="F13" s="181"/>
    </row>
    <row r="14" spans="3:6">
      <c r="C14" s="179" t="s">
        <v>320</v>
      </c>
      <c r="D14" s="181"/>
      <c r="E14" s="181"/>
      <c r="F14" s="181"/>
    </row>
    <row r="15" spans="3:6">
      <c r="C15" s="179" t="s">
        <v>322</v>
      </c>
      <c r="D15" s="181"/>
      <c r="E15" s="181"/>
      <c r="F15" s="181"/>
    </row>
    <row r="16" spans="3:6">
      <c r="C16" s="179"/>
      <c r="D16" s="181"/>
      <c r="E16" s="181"/>
      <c r="F16" s="181"/>
    </row>
    <row r="17" spans="2:7">
      <c r="C17" s="179" t="s">
        <v>699</v>
      </c>
      <c r="D17" s="181"/>
      <c r="E17" s="181"/>
      <c r="F17" s="181"/>
    </row>
    <row r="18" spans="2:7">
      <c r="C18" s="179"/>
      <c r="D18" s="246"/>
      <c r="E18" s="246"/>
      <c r="F18" s="246"/>
    </row>
    <row r="19" spans="2:7">
      <c r="C19" s="179"/>
      <c r="D19" s="282"/>
      <c r="E19" s="246"/>
      <c r="F19" s="246"/>
    </row>
    <row r="20" spans="2:7">
      <c r="C20" s="184"/>
      <c r="D20" s="44"/>
      <c r="E20" s="44"/>
      <c r="F20" s="44"/>
    </row>
    <row r="21" spans="2:7">
      <c r="C21" s="184"/>
      <c r="D21" s="44"/>
      <c r="E21" s="44"/>
      <c r="F21" s="44"/>
    </row>
    <row r="22" spans="2:7">
      <c r="C22" s="191"/>
      <c r="D22" s="44"/>
      <c r="E22" s="44"/>
      <c r="F22" s="44"/>
      <c r="G22" s="44"/>
    </row>
    <row r="23" spans="2:7">
      <c r="B23" s="256" t="str">
        <f>女甲賽程!Q5</f>
        <v>荃青-AYY</v>
      </c>
      <c r="C23" s="491" t="s">
        <v>61</v>
      </c>
      <c r="D23" s="44"/>
      <c r="E23" s="285"/>
      <c r="F23" s="44"/>
      <c r="G23" s="44"/>
    </row>
    <row r="24" spans="2:7">
      <c r="C24" s="492" t="s">
        <v>264</v>
      </c>
      <c r="D24" s="191"/>
      <c r="E24" s="128"/>
      <c r="F24" s="44"/>
    </row>
    <row r="25" spans="2:7">
      <c r="C25" s="358"/>
      <c r="D25" s="502"/>
      <c r="E25" s="44"/>
      <c r="F25" s="44"/>
      <c r="G25" s="44"/>
    </row>
    <row r="26" spans="2:7">
      <c r="B26" s="256" t="str">
        <f>女甲賽程!Q8</f>
        <v>Acti tape</v>
      </c>
      <c r="C26" s="289" t="s">
        <v>102</v>
      </c>
      <c r="D26" s="283"/>
      <c r="E26" s="128"/>
      <c r="F26" s="44"/>
      <c r="G26" s="128"/>
    </row>
    <row r="27" spans="2:7">
      <c r="C27" s="285"/>
      <c r="D27" s="492" t="s">
        <v>265</v>
      </c>
      <c r="E27" s="284"/>
      <c r="G27" s="44"/>
    </row>
    <row r="28" spans="2:7">
      <c r="C28" s="351"/>
      <c r="D28" s="308" t="s">
        <v>143</v>
      </c>
      <c r="G28" s="128"/>
    </row>
    <row r="29" spans="2:7">
      <c r="B29" s="256" t="str">
        <f>女甲賽程!Q6</f>
        <v>羚靖</v>
      </c>
      <c r="C29" s="491" t="s">
        <v>75</v>
      </c>
      <c r="D29" s="283"/>
      <c r="E29" s="44"/>
      <c r="F29" s="44"/>
      <c r="G29" s="44"/>
    </row>
    <row r="30" spans="2:7">
      <c r="C30" s="492" t="s">
        <v>266</v>
      </c>
      <c r="D30" s="503"/>
      <c r="F30" s="44"/>
    </row>
    <row r="31" spans="2:7">
      <c r="C31" s="358"/>
      <c r="D31" s="504"/>
      <c r="E31" s="128"/>
      <c r="F31" s="44"/>
      <c r="G31" s="44"/>
    </row>
    <row r="32" spans="2:7">
      <c r="B32" s="256" t="str">
        <f>女甲賽程!Q8</f>
        <v>Acti tape</v>
      </c>
      <c r="C32" s="289" t="s">
        <v>94</v>
      </c>
      <c r="D32" s="44"/>
      <c r="E32" s="285"/>
      <c r="G32" s="44"/>
    </row>
    <row r="33" spans="2:10">
      <c r="C33" s="285"/>
      <c r="D33" s="44"/>
      <c r="E33" s="44"/>
      <c r="G33" s="44"/>
      <c r="H33" s="44"/>
      <c r="I33" s="44"/>
      <c r="J33" s="44"/>
    </row>
    <row r="34" spans="2:10">
      <c r="C34" s="44"/>
      <c r="D34" s="351"/>
    </row>
    <row r="35" spans="2:10">
      <c r="C35" s="286"/>
      <c r="D35" s="329"/>
    </row>
    <row r="36" spans="2:10">
      <c r="D36" s="505" t="s">
        <v>267</v>
      </c>
      <c r="E36" s="284"/>
    </row>
    <row r="37" spans="2:10">
      <c r="D37" s="308" t="s">
        <v>146</v>
      </c>
    </row>
    <row r="38" spans="2:10">
      <c r="C38" s="288"/>
      <c r="D38" s="308"/>
    </row>
    <row r="39" spans="2:10">
      <c r="B39" s="192"/>
      <c r="C39" s="289"/>
      <c r="D39" s="332"/>
    </row>
    <row r="45" spans="2:10">
      <c r="B45" s="498" t="s">
        <v>147</v>
      </c>
      <c r="C45" s="43" t="s">
        <v>148</v>
      </c>
      <c r="D45" s="256"/>
    </row>
    <row r="46" spans="2:10">
      <c r="B46" s="498" t="s">
        <v>149</v>
      </c>
      <c r="C46" s="43" t="s">
        <v>150</v>
      </c>
      <c r="D46" s="256"/>
    </row>
    <row r="47" spans="2:10">
      <c r="B47" s="498" t="s">
        <v>151</v>
      </c>
      <c r="C47" s="43" t="s">
        <v>152</v>
      </c>
      <c r="D47" s="256"/>
    </row>
    <row r="48" spans="2:10">
      <c r="B48" s="498" t="s">
        <v>153</v>
      </c>
      <c r="C48" s="43" t="s">
        <v>154</v>
      </c>
      <c r="D48" s="256"/>
      <c r="G48" s="44"/>
    </row>
  </sheetData>
  <sheetProtection selectLockedCells="1" selectUnlockedCells="1"/>
  <phoneticPr fontId="49" type="noConversion"/>
  <printOptions horizontalCentered="1" verticalCentered="1"/>
  <pageMargins left="0.74791666666666667" right="0.74791666666666667" top="0.52013888888888893" bottom="0.54027777777777775" header="0.51180555555555551" footer="0.51180555555555551"/>
  <pageSetup paperSize="9" scale="59" firstPageNumber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U55"/>
  <sheetViews>
    <sheetView topLeftCell="H4" zoomScale="85" zoomScaleNormal="85" workbookViewId="0">
      <selection activeCell="K18" sqref="K18"/>
    </sheetView>
  </sheetViews>
  <sheetFormatPr defaultColWidth="7.6640625" defaultRowHeight="15.75"/>
  <cols>
    <col min="1" max="1" width="7.6640625" style="65"/>
    <col min="2" max="2" width="8.109375" style="65" customWidth="1"/>
    <col min="3" max="3" width="7.44140625" style="65" customWidth="1"/>
    <col min="4" max="4" width="10" style="65" customWidth="1"/>
    <col min="5" max="5" width="13.33203125" style="65" customWidth="1"/>
    <col min="6" max="6" width="4.33203125" style="65" customWidth="1"/>
    <col min="7" max="7" width="13.5546875" style="65" customWidth="1"/>
    <col min="8" max="8" width="19.21875" style="65" customWidth="1"/>
    <col min="9" max="9" width="2.6640625" style="65" customWidth="1"/>
    <col min="10" max="10" width="19.33203125" style="65" customWidth="1"/>
    <col min="11" max="14" width="7.6640625" style="197"/>
    <col min="15" max="15" width="30.6640625" style="65" customWidth="1"/>
    <col min="16" max="16" width="7.6640625" style="65"/>
    <col min="17" max="17" width="14.44140625" style="65" customWidth="1"/>
    <col min="18" max="16384" width="7.6640625" style="65"/>
  </cols>
  <sheetData>
    <row r="1" spans="2:21">
      <c r="B1" s="506" t="s">
        <v>268</v>
      </c>
      <c r="C1" s="507"/>
      <c r="D1" s="274"/>
      <c r="E1" s="275"/>
      <c r="F1" s="200"/>
      <c r="G1" s="508"/>
      <c r="H1" s="275"/>
      <c r="I1" s="275"/>
      <c r="J1" s="200"/>
      <c r="K1" s="200"/>
      <c r="L1" s="200"/>
      <c r="M1" s="200"/>
    </row>
    <row r="2" spans="2:21" ht="16.5">
      <c r="B2" s="506" t="s">
        <v>757</v>
      </c>
      <c r="C2" s="507"/>
      <c r="D2" s="274"/>
      <c r="E2" s="275"/>
      <c r="F2" s="200"/>
      <c r="G2" s="508"/>
      <c r="H2" s="275"/>
      <c r="I2" s="275"/>
      <c r="J2" s="200"/>
      <c r="K2" s="200"/>
      <c r="L2" s="200"/>
      <c r="M2" s="200"/>
    </row>
    <row r="3" spans="2:21">
      <c r="B3" s="200"/>
      <c r="C3" s="200"/>
      <c r="D3" s="200"/>
      <c r="E3" s="200"/>
      <c r="F3" s="277"/>
      <c r="H3" s="640" t="s">
        <v>333</v>
      </c>
      <c r="I3" s="641"/>
      <c r="J3" s="642"/>
      <c r="K3" s="444" t="s">
        <v>337</v>
      </c>
      <c r="L3" s="278" t="s">
        <v>338</v>
      </c>
      <c r="M3" s="278" t="s">
        <v>338</v>
      </c>
      <c r="N3" s="278" t="s">
        <v>337</v>
      </c>
    </row>
    <row r="4" spans="2:21">
      <c r="B4" s="92"/>
      <c r="C4" s="278" t="s">
        <v>157</v>
      </c>
      <c r="D4" s="443" t="s">
        <v>158</v>
      </c>
      <c r="E4" s="130"/>
      <c r="F4" s="444" t="s">
        <v>159</v>
      </c>
      <c r="G4" s="278"/>
      <c r="H4" s="509" t="s">
        <v>160</v>
      </c>
      <c r="I4" s="510"/>
      <c r="J4" s="509" t="s">
        <v>161</v>
      </c>
      <c r="K4" s="278"/>
      <c r="L4" s="278"/>
      <c r="M4" s="278"/>
      <c r="N4" s="46"/>
      <c r="P4" s="50" t="s">
        <v>163</v>
      </c>
      <c r="Q4" s="51" t="s">
        <v>46</v>
      </c>
      <c r="R4" s="51" t="s">
        <v>164</v>
      </c>
      <c r="S4" s="51" t="s">
        <v>934</v>
      </c>
      <c r="T4" s="51" t="s">
        <v>165</v>
      </c>
      <c r="U4" s="51" t="s">
        <v>52</v>
      </c>
    </row>
    <row r="5" spans="2:21" ht="16.5" customHeight="1" thickBot="1">
      <c r="B5" s="92"/>
      <c r="C5" s="511" t="s">
        <v>332</v>
      </c>
      <c r="D5" s="512" t="s">
        <v>156</v>
      </c>
      <c r="E5" s="130"/>
      <c r="F5" s="513" t="s">
        <v>333</v>
      </c>
      <c r="G5" s="511"/>
      <c r="H5" s="338" t="s">
        <v>47</v>
      </c>
      <c r="I5" s="339"/>
      <c r="J5" s="338" t="s">
        <v>47</v>
      </c>
      <c r="K5" s="278"/>
      <c r="L5" s="278"/>
      <c r="M5" s="278"/>
      <c r="N5" s="46"/>
      <c r="P5" s="209">
        <v>1</v>
      </c>
      <c r="Q5" s="220" t="s">
        <v>936</v>
      </c>
      <c r="R5" s="220">
        <v>3</v>
      </c>
      <c r="S5" s="220">
        <v>0</v>
      </c>
      <c r="T5" s="220">
        <v>0</v>
      </c>
      <c r="U5" s="220">
        <f>R5*3+S5*1+T5*0</f>
        <v>9</v>
      </c>
    </row>
    <row r="6" spans="2:21" ht="18" thickTop="1" thickBot="1">
      <c r="B6" s="214">
        <v>1</v>
      </c>
      <c r="C6" s="215" t="s">
        <v>166</v>
      </c>
      <c r="D6" s="216">
        <v>1</v>
      </c>
      <c r="E6" s="49" t="s">
        <v>55</v>
      </c>
      <c r="F6" s="232" t="s">
        <v>167</v>
      </c>
      <c r="G6" s="118" t="s">
        <v>60</v>
      </c>
      <c r="H6" s="53" t="str">
        <f>VLOOKUP(E6,WD!$C$6:$K$73,3,FALSE)</f>
        <v>羚靖</v>
      </c>
      <c r="I6" s="53" t="s">
        <v>167</v>
      </c>
      <c r="J6" s="53" t="str">
        <f>VLOOKUP(G6,WD!$C$6:$K$73,3,FALSE)</f>
        <v>Yumika</v>
      </c>
      <c r="K6" s="46">
        <v>2</v>
      </c>
      <c r="L6" s="46">
        <f>21+21</f>
        <v>42</v>
      </c>
      <c r="M6" s="46">
        <v>0</v>
      </c>
      <c r="N6" s="46">
        <v>0</v>
      </c>
      <c r="O6" s="65" t="s">
        <v>918</v>
      </c>
      <c r="P6" s="209">
        <v>2</v>
      </c>
      <c r="Q6" s="220" t="s">
        <v>937</v>
      </c>
      <c r="R6" s="220">
        <v>3</v>
      </c>
      <c r="S6" s="220">
        <v>0</v>
      </c>
      <c r="T6" s="220">
        <v>0</v>
      </c>
      <c r="U6" s="220">
        <f t="shared" ref="U6:U12" si="0">R6*3+S6*1+T6*0</f>
        <v>9</v>
      </c>
    </row>
    <row r="7" spans="2:21" ht="17.25" thickTop="1" thickBot="1">
      <c r="B7" s="221">
        <v>2</v>
      </c>
      <c r="C7" s="215" t="s">
        <v>166</v>
      </c>
      <c r="D7" s="216">
        <v>2</v>
      </c>
      <c r="E7" s="49" t="s">
        <v>56</v>
      </c>
      <c r="F7" s="232" t="s">
        <v>167</v>
      </c>
      <c r="G7" s="118" t="s">
        <v>59</v>
      </c>
      <c r="H7" s="53" t="str">
        <f>VLOOKUP(E7,WD!$C$6:$K$73,3,FALSE)</f>
        <v>Men</v>
      </c>
      <c r="I7" s="53" t="s">
        <v>167</v>
      </c>
      <c r="J7" s="53" t="str">
        <f>VLOOKUP(G7,WD!$C$6:$K$73,3,FALSE)</f>
        <v>SURVIVOR</v>
      </c>
      <c r="K7" s="46"/>
      <c r="L7" s="46"/>
      <c r="M7" s="46"/>
      <c r="N7" s="46"/>
      <c r="P7" s="209">
        <v>3</v>
      </c>
      <c r="Q7" s="220" t="s">
        <v>940</v>
      </c>
      <c r="R7" s="220">
        <v>2</v>
      </c>
      <c r="S7" s="220">
        <v>0</v>
      </c>
      <c r="T7" s="220">
        <v>0</v>
      </c>
      <c r="U7" s="220">
        <f t="shared" si="0"/>
        <v>6</v>
      </c>
    </row>
    <row r="8" spans="2:21" ht="17.25" thickTop="1" thickBot="1">
      <c r="B8" s="214">
        <v>3</v>
      </c>
      <c r="C8" s="215" t="s">
        <v>166</v>
      </c>
      <c r="D8" s="216">
        <v>3</v>
      </c>
      <c r="E8" s="49" t="s">
        <v>53</v>
      </c>
      <c r="F8" s="232" t="s">
        <v>167</v>
      </c>
      <c r="G8" s="118" t="s">
        <v>58</v>
      </c>
      <c r="H8" s="53" t="str">
        <f>VLOOKUP(E8,WD!$C$6:$K$73,3,FALSE)</f>
        <v>ST</v>
      </c>
      <c r="I8" s="53" t="s">
        <v>167</v>
      </c>
      <c r="J8" s="53" t="str">
        <f>VLOOKUP(G8,WD!$C$6:$K$73,3,FALSE)</f>
        <v>YhtNyi</v>
      </c>
      <c r="K8" s="46">
        <v>2</v>
      </c>
      <c r="L8" s="46">
        <f>21+21</f>
        <v>42</v>
      </c>
      <c r="M8" s="46">
        <f>7+9</f>
        <v>16</v>
      </c>
      <c r="N8" s="46">
        <v>0</v>
      </c>
      <c r="O8" s="65" t="s">
        <v>920</v>
      </c>
      <c r="P8" s="209">
        <v>4</v>
      </c>
      <c r="Q8" s="220" t="s">
        <v>938</v>
      </c>
      <c r="R8" s="220">
        <v>2</v>
      </c>
      <c r="S8" s="220">
        <v>0</v>
      </c>
      <c r="T8" s="220">
        <v>2</v>
      </c>
      <c r="U8" s="220">
        <f t="shared" si="0"/>
        <v>6</v>
      </c>
    </row>
    <row r="9" spans="2:21" ht="17.25" thickTop="1" thickBot="1">
      <c r="B9" s="221">
        <v>4</v>
      </c>
      <c r="C9" s="215" t="s">
        <v>166</v>
      </c>
      <c r="D9" s="216">
        <v>4</v>
      </c>
      <c r="E9" s="514" t="s">
        <v>57</v>
      </c>
      <c r="F9" s="236" t="s">
        <v>167</v>
      </c>
      <c r="G9" s="515" t="s">
        <v>54</v>
      </c>
      <c r="H9" s="53" t="str">
        <f>VLOOKUP(E9,WD!$C$6:$K$73,3,FALSE)</f>
        <v xml:space="preserve">Acti tape </v>
      </c>
      <c r="I9" s="53" t="s">
        <v>167</v>
      </c>
      <c r="J9" s="53" t="str">
        <f>VLOOKUP(G9,WD!$C$6:$K$73,3,FALSE)</f>
        <v>荃青—AYY</v>
      </c>
      <c r="K9" s="46">
        <v>0</v>
      </c>
      <c r="L9" s="46">
        <f>12+14</f>
        <v>26</v>
      </c>
      <c r="M9" s="46">
        <f>21+21</f>
        <v>42</v>
      </c>
      <c r="N9" s="46">
        <v>2</v>
      </c>
      <c r="O9" s="65" t="s">
        <v>919</v>
      </c>
      <c r="P9" s="209">
        <v>5</v>
      </c>
      <c r="Q9" s="220" t="s">
        <v>935</v>
      </c>
      <c r="R9" s="220">
        <v>2</v>
      </c>
      <c r="S9" s="220">
        <v>0</v>
      </c>
      <c r="T9" s="220">
        <v>1</v>
      </c>
      <c r="U9" s="220">
        <f t="shared" si="0"/>
        <v>6</v>
      </c>
    </row>
    <row r="10" spans="2:21" ht="17.25" thickTop="1" thickBot="1">
      <c r="B10" s="214">
        <v>5</v>
      </c>
      <c r="C10" s="215" t="s">
        <v>166</v>
      </c>
      <c r="D10" s="216">
        <v>5</v>
      </c>
      <c r="E10" s="49" t="s">
        <v>54</v>
      </c>
      <c r="F10" s="232" t="s">
        <v>167</v>
      </c>
      <c r="G10" s="118" t="s">
        <v>59</v>
      </c>
      <c r="H10" s="53" t="str">
        <f>VLOOKUP(E10,WD!$C$6:$K$73,3,FALSE)</f>
        <v>荃青—AYY</v>
      </c>
      <c r="I10" s="53" t="s">
        <v>167</v>
      </c>
      <c r="J10" s="53" t="str">
        <f>VLOOKUP(G10,WD!$C$6:$K$73,3,FALSE)</f>
        <v>SURVIVOR</v>
      </c>
      <c r="K10" s="46">
        <v>2</v>
      </c>
      <c r="L10" s="46">
        <f>21+21</f>
        <v>42</v>
      </c>
      <c r="M10" s="46">
        <f>8+8</f>
        <v>16</v>
      </c>
      <c r="N10" s="46">
        <v>0</v>
      </c>
      <c r="O10" s="65" t="s">
        <v>1003</v>
      </c>
      <c r="P10" s="209">
        <v>6</v>
      </c>
      <c r="Q10" s="220" t="s">
        <v>942</v>
      </c>
      <c r="R10" s="220">
        <v>0</v>
      </c>
      <c r="S10" s="220">
        <v>0</v>
      </c>
      <c r="T10" s="220">
        <v>3</v>
      </c>
      <c r="U10" s="220">
        <f t="shared" si="0"/>
        <v>0</v>
      </c>
    </row>
    <row r="11" spans="2:21" ht="17.25" thickTop="1" thickBot="1">
      <c r="B11" s="221">
        <v>6</v>
      </c>
      <c r="C11" s="215" t="s">
        <v>166</v>
      </c>
      <c r="D11" s="216">
        <v>6</v>
      </c>
      <c r="E11" s="49" t="s">
        <v>58</v>
      </c>
      <c r="F11" s="232" t="s">
        <v>167</v>
      </c>
      <c r="G11" s="118" t="s">
        <v>55</v>
      </c>
      <c r="H11" s="53" t="str">
        <f>VLOOKUP(E11,WD!$C$6:$K$73,3,FALSE)</f>
        <v>YhtNyi</v>
      </c>
      <c r="I11" s="53" t="s">
        <v>167</v>
      </c>
      <c r="J11" s="53" t="str">
        <f>VLOOKUP(G11,WD!$C$6:$K$73,3,FALSE)</f>
        <v>羚靖</v>
      </c>
      <c r="K11" s="46">
        <v>0</v>
      </c>
      <c r="L11" s="46">
        <f>13+15</f>
        <v>28</v>
      </c>
      <c r="M11" s="46">
        <f>21+21</f>
        <v>42</v>
      </c>
      <c r="N11" s="46">
        <v>2</v>
      </c>
      <c r="O11" s="65" t="s">
        <v>1004</v>
      </c>
      <c r="P11" s="209">
        <v>7</v>
      </c>
      <c r="Q11" s="220" t="s">
        <v>941</v>
      </c>
      <c r="R11" s="220">
        <v>0</v>
      </c>
      <c r="S11" s="220">
        <v>0</v>
      </c>
      <c r="T11" s="220">
        <v>3</v>
      </c>
      <c r="U11" s="220">
        <f t="shared" si="0"/>
        <v>0</v>
      </c>
    </row>
    <row r="12" spans="2:21" ht="17.25" thickTop="1" thickBot="1">
      <c r="B12" s="214">
        <v>7</v>
      </c>
      <c r="C12" s="215" t="s">
        <v>166</v>
      </c>
      <c r="D12" s="216">
        <v>7</v>
      </c>
      <c r="E12" s="49" t="s">
        <v>57</v>
      </c>
      <c r="F12" s="232" t="s">
        <v>167</v>
      </c>
      <c r="G12" s="118" t="s">
        <v>56</v>
      </c>
      <c r="H12" s="53" t="str">
        <f>VLOOKUP(E12,WD!$C$6:$K$73,3,FALSE)</f>
        <v xml:space="preserve">Acti tape </v>
      </c>
      <c r="I12" s="53" t="s">
        <v>167</v>
      </c>
      <c r="J12" s="53" t="str">
        <f>VLOOKUP(G12,WD!$C$6:$K$73,3,FALSE)</f>
        <v>Men</v>
      </c>
      <c r="K12" s="46">
        <v>0</v>
      </c>
      <c r="L12" s="46">
        <f>17+14</f>
        <v>31</v>
      </c>
      <c r="M12" s="46">
        <f>21+21</f>
        <v>42</v>
      </c>
      <c r="N12" s="46">
        <v>2</v>
      </c>
      <c r="O12" s="65" t="s">
        <v>1005</v>
      </c>
      <c r="P12" s="209">
        <v>8</v>
      </c>
      <c r="Q12" s="220" t="s">
        <v>939</v>
      </c>
      <c r="R12" s="220">
        <v>0</v>
      </c>
      <c r="S12" s="220">
        <v>0</v>
      </c>
      <c r="T12" s="220">
        <v>3</v>
      </c>
      <c r="U12" s="220">
        <f t="shared" si="0"/>
        <v>0</v>
      </c>
    </row>
    <row r="13" spans="2:21" ht="17.25" thickTop="1" thickBot="1">
      <c r="B13" s="221">
        <v>8</v>
      </c>
      <c r="C13" s="215" t="s">
        <v>166</v>
      </c>
      <c r="D13" s="216">
        <v>8</v>
      </c>
      <c r="E13" s="514" t="s">
        <v>53</v>
      </c>
      <c r="F13" s="236" t="s">
        <v>167</v>
      </c>
      <c r="G13" s="515" t="s">
        <v>60</v>
      </c>
      <c r="H13" s="53" t="str">
        <f>VLOOKUP(E13,WD!$C$6:$K$73,3,FALSE)</f>
        <v>ST</v>
      </c>
      <c r="I13" s="53" t="s">
        <v>167</v>
      </c>
      <c r="J13" s="53" t="str">
        <f>VLOOKUP(G13,WD!$C$6:$K$73,3,FALSE)</f>
        <v>Yumika</v>
      </c>
      <c r="K13" s="46">
        <v>2</v>
      </c>
      <c r="L13" s="46">
        <f>21+21</f>
        <v>42</v>
      </c>
      <c r="M13" s="46">
        <f>10+9</f>
        <v>19</v>
      </c>
      <c r="N13" s="46">
        <v>0</v>
      </c>
      <c r="O13" s="65" t="s">
        <v>1006</v>
      </c>
      <c r="P13" s="92"/>
      <c r="Q13" s="92"/>
      <c r="R13" s="92"/>
      <c r="S13" s="92"/>
      <c r="T13" s="92"/>
      <c r="U13" s="92"/>
    </row>
    <row r="14" spans="2:21" ht="18" thickTop="1" thickBot="1">
      <c r="B14" s="214">
        <v>9</v>
      </c>
      <c r="C14" s="215" t="s">
        <v>166</v>
      </c>
      <c r="D14" s="216">
        <v>9</v>
      </c>
      <c r="E14" s="49" t="s">
        <v>58</v>
      </c>
      <c r="F14" s="232" t="s">
        <v>167</v>
      </c>
      <c r="G14" s="118" t="s">
        <v>56</v>
      </c>
      <c r="H14" s="53" t="str">
        <f>VLOOKUP(E14,WD!$C$6:$K$73,3,FALSE)</f>
        <v>YhtNyi</v>
      </c>
      <c r="I14" s="53" t="s">
        <v>167</v>
      </c>
      <c r="J14" s="53" t="str">
        <f>VLOOKUP(G14,WD!$C$6:$K$73,3,FALSE)</f>
        <v>Men</v>
      </c>
      <c r="K14" s="46">
        <v>0</v>
      </c>
      <c r="L14" s="46">
        <f>16+6</f>
        <v>22</v>
      </c>
      <c r="M14" s="46">
        <f>21+21</f>
        <v>42</v>
      </c>
      <c r="N14" s="46">
        <v>2</v>
      </c>
      <c r="O14" s="65" t="s">
        <v>1007</v>
      </c>
      <c r="P14" s="92"/>
      <c r="Q14" s="92"/>
      <c r="R14" s="550" t="s">
        <v>946</v>
      </c>
      <c r="S14" s="550" t="s">
        <v>947</v>
      </c>
      <c r="T14" s="550" t="s">
        <v>948</v>
      </c>
      <c r="U14" s="92"/>
    </row>
    <row r="15" spans="2:21" ht="17.25" thickTop="1" thickBot="1">
      <c r="B15" s="221">
        <v>10</v>
      </c>
      <c r="C15" s="215" t="s">
        <v>166</v>
      </c>
      <c r="D15" s="216">
        <v>10</v>
      </c>
      <c r="E15" s="49" t="s">
        <v>53</v>
      </c>
      <c r="F15" s="232" t="s">
        <v>167</v>
      </c>
      <c r="G15" s="118" t="s">
        <v>54</v>
      </c>
      <c r="H15" s="53" t="str">
        <f>VLOOKUP(E15,WD!$C$6:$K$73,3,FALSE)</f>
        <v>ST</v>
      </c>
      <c r="I15" s="53" t="s">
        <v>167</v>
      </c>
      <c r="J15" s="53" t="str">
        <f>VLOOKUP(G15,WD!$C$6:$K$73,3,FALSE)</f>
        <v>荃青—AYY</v>
      </c>
      <c r="K15" s="46">
        <v>0</v>
      </c>
      <c r="L15" s="46">
        <v>0</v>
      </c>
      <c r="M15" s="46">
        <v>42</v>
      </c>
      <c r="N15" s="46">
        <v>2</v>
      </c>
      <c r="O15" s="65" t="s">
        <v>1002</v>
      </c>
      <c r="P15" s="92"/>
      <c r="Q15" s="92" t="s">
        <v>363</v>
      </c>
      <c r="R15" s="91">
        <f>L8+L13+L15</f>
        <v>84</v>
      </c>
      <c r="S15" s="91">
        <f>M8+M13+M15</f>
        <v>77</v>
      </c>
      <c r="T15" s="551">
        <f>R15/S15</f>
        <v>1.0909090909090908</v>
      </c>
      <c r="U15" s="92"/>
    </row>
    <row r="16" spans="2:21" ht="17.25" thickTop="1" thickBot="1">
      <c r="B16" s="214">
        <v>11</v>
      </c>
      <c r="C16" s="215" t="s">
        <v>166</v>
      </c>
      <c r="D16" s="216">
        <v>11</v>
      </c>
      <c r="E16" s="49" t="s">
        <v>59</v>
      </c>
      <c r="F16" s="232" t="s">
        <v>167</v>
      </c>
      <c r="G16" s="118" t="s">
        <v>55</v>
      </c>
      <c r="H16" s="53" t="str">
        <f>VLOOKUP(E16,WD!$C$6:$K$73,3,FALSE)</f>
        <v>SURVIVOR</v>
      </c>
      <c r="I16" s="53" t="s">
        <v>167</v>
      </c>
      <c r="J16" s="53" t="str">
        <f>VLOOKUP(G16,WD!$C$6:$K$73,3,FALSE)</f>
        <v>羚靖</v>
      </c>
      <c r="K16" s="46">
        <v>0</v>
      </c>
      <c r="L16" s="46">
        <f>12+14</f>
        <v>26</v>
      </c>
      <c r="M16" s="46">
        <f>21+21</f>
        <v>42</v>
      </c>
      <c r="N16" s="46">
        <v>2</v>
      </c>
      <c r="O16" s="65" t="s">
        <v>1008</v>
      </c>
      <c r="P16" s="92"/>
      <c r="Q16" s="92" t="s">
        <v>943</v>
      </c>
      <c r="R16" s="91">
        <f>M9+M15+L10</f>
        <v>126</v>
      </c>
      <c r="S16" s="91">
        <f>L9+M10+L15</f>
        <v>42</v>
      </c>
      <c r="T16" s="551">
        <f t="shared" ref="T16:T22" si="1">R16/S16</f>
        <v>3</v>
      </c>
      <c r="U16" s="92"/>
    </row>
    <row r="17" spans="2:21" ht="17.25" thickTop="1" thickBot="1">
      <c r="B17" s="221">
        <v>12</v>
      </c>
      <c r="C17" s="215" t="s">
        <v>166</v>
      </c>
      <c r="D17" s="216">
        <v>12</v>
      </c>
      <c r="E17" s="514" t="s">
        <v>60</v>
      </c>
      <c r="F17" s="236" t="s">
        <v>167</v>
      </c>
      <c r="G17" s="515" t="s">
        <v>57</v>
      </c>
      <c r="H17" s="53" t="str">
        <f>VLOOKUP(E17,WD!$C$6:$K$73,3,FALSE)</f>
        <v>Yumika</v>
      </c>
      <c r="I17" s="110" t="s">
        <v>167</v>
      </c>
      <c r="J17" s="53" t="str">
        <f>VLOOKUP(G17,WD!$C$6:$K$73,3,FALSE)</f>
        <v xml:space="preserve">Acti tape </v>
      </c>
      <c r="K17" s="46">
        <v>0</v>
      </c>
      <c r="L17" s="46">
        <f>11+13</f>
        <v>24</v>
      </c>
      <c r="M17" s="46">
        <f>21+21</f>
        <v>42</v>
      </c>
      <c r="N17" s="46">
        <v>2</v>
      </c>
      <c r="O17" s="65" t="s">
        <v>1009</v>
      </c>
      <c r="P17" s="92"/>
      <c r="Q17" s="92" t="s">
        <v>944</v>
      </c>
      <c r="R17" s="91">
        <f>L6+M11+M16</f>
        <v>126</v>
      </c>
      <c r="S17" s="91">
        <f>M6+L11+L16</f>
        <v>54</v>
      </c>
      <c r="T17" s="551">
        <f>R17/S17</f>
        <v>2.3333333333333335</v>
      </c>
      <c r="U17" s="92"/>
    </row>
    <row r="18" spans="2:21" ht="17.25" thickTop="1" thickBot="1">
      <c r="B18" s="214">
        <v>13</v>
      </c>
      <c r="C18" s="215" t="s">
        <v>166</v>
      </c>
      <c r="D18" s="216">
        <v>13</v>
      </c>
      <c r="E18" s="49" t="s">
        <v>58</v>
      </c>
      <c r="F18" s="232" t="s">
        <v>167</v>
      </c>
      <c r="G18" s="118" t="s">
        <v>59</v>
      </c>
      <c r="H18" s="53" t="str">
        <f>VLOOKUP(E18,WD!$C$6:$K$73,3,FALSE)</f>
        <v>YhtNyi</v>
      </c>
      <c r="I18" s="290" t="s">
        <v>167</v>
      </c>
      <c r="J18" s="53" t="str">
        <f>VLOOKUP(G18,WD!$C$6:$K$73,3,FALSE)</f>
        <v>SURVIVOR</v>
      </c>
      <c r="K18" s="46"/>
      <c r="L18" s="46"/>
      <c r="M18" s="46"/>
      <c r="N18" s="46"/>
      <c r="P18" s="92"/>
      <c r="Q18" s="92" t="s">
        <v>380</v>
      </c>
      <c r="R18" s="91">
        <f>L7+M14+M12</f>
        <v>84</v>
      </c>
      <c r="S18" s="91">
        <f>M7+L12+L14</f>
        <v>53</v>
      </c>
      <c r="T18" s="551">
        <f t="shared" si="1"/>
        <v>1.5849056603773586</v>
      </c>
      <c r="U18" s="92"/>
    </row>
    <row r="19" spans="2:21" ht="17.25" thickTop="1" thickBot="1">
      <c r="B19" s="221">
        <v>14</v>
      </c>
      <c r="C19" s="215" t="s">
        <v>166</v>
      </c>
      <c r="D19" s="216">
        <v>14</v>
      </c>
      <c r="E19" s="49" t="s">
        <v>56</v>
      </c>
      <c r="F19" s="232" t="s">
        <v>167</v>
      </c>
      <c r="G19" s="118" t="s">
        <v>55</v>
      </c>
      <c r="H19" s="53" t="str">
        <f>VLOOKUP(E19,WD!$C$6:$K$73,3,FALSE)</f>
        <v>Men</v>
      </c>
      <c r="I19" s="53" t="s">
        <v>167</v>
      </c>
      <c r="J19" s="53" t="str">
        <f>VLOOKUP(G19,WD!$C$6:$K$73,3,FALSE)</f>
        <v>羚靖</v>
      </c>
      <c r="K19" s="46"/>
      <c r="L19" s="46"/>
      <c r="M19" s="46"/>
      <c r="N19" s="46"/>
      <c r="Q19" s="65" t="s">
        <v>945</v>
      </c>
      <c r="R19" s="197">
        <f>L9+M22+L12+M17</f>
        <v>141</v>
      </c>
      <c r="S19" s="197">
        <f>M9+L22+M12+L17</f>
        <v>128</v>
      </c>
      <c r="T19" s="551">
        <f t="shared" si="1"/>
        <v>1.1015625</v>
      </c>
    </row>
    <row r="20" spans="2:21" ht="17.25" thickTop="1" thickBot="1">
      <c r="B20" s="214">
        <v>15</v>
      </c>
      <c r="C20" s="215" t="s">
        <v>166</v>
      </c>
      <c r="D20" s="216">
        <v>15</v>
      </c>
      <c r="E20" s="49" t="s">
        <v>60</v>
      </c>
      <c r="F20" s="232" t="s">
        <v>167</v>
      </c>
      <c r="G20" s="118" t="s">
        <v>54</v>
      </c>
      <c r="H20" s="53" t="str">
        <f>VLOOKUP(E20,WD!$C$6:$K$73,3,FALSE)</f>
        <v>Yumika</v>
      </c>
      <c r="I20" s="53" t="s">
        <v>167</v>
      </c>
      <c r="J20" s="53" t="str">
        <f>VLOOKUP(G20,WD!$C$6:$K$73,3,FALSE)</f>
        <v>荃青—AYY</v>
      </c>
      <c r="K20" s="46"/>
      <c r="L20" s="46"/>
      <c r="M20" s="46"/>
      <c r="N20" s="46"/>
      <c r="Q20" s="65" t="s">
        <v>371</v>
      </c>
      <c r="R20" s="197">
        <f>M8+L14+L11</f>
        <v>66</v>
      </c>
      <c r="S20" s="197">
        <f>L8+M11+M14</f>
        <v>126</v>
      </c>
      <c r="T20" s="551">
        <f t="shared" si="1"/>
        <v>0.52380952380952384</v>
      </c>
    </row>
    <row r="21" spans="2:21" ht="17.25" thickTop="1" thickBot="1">
      <c r="B21" s="221">
        <v>16</v>
      </c>
      <c r="C21" s="215" t="s">
        <v>166</v>
      </c>
      <c r="D21" s="216">
        <v>16</v>
      </c>
      <c r="E21" s="514" t="s">
        <v>57</v>
      </c>
      <c r="F21" s="236" t="s">
        <v>167</v>
      </c>
      <c r="G21" s="515" t="s">
        <v>53</v>
      </c>
      <c r="H21" s="53" t="str">
        <f>VLOOKUP(E21,WD!$C$6:$K$73,3,FALSE)</f>
        <v xml:space="preserve">Acti tape </v>
      </c>
      <c r="I21" s="53" t="s">
        <v>167</v>
      </c>
      <c r="J21" s="53" t="str">
        <f>VLOOKUP(G21,WD!$C$6:$K$73,3,FALSE)</f>
        <v>ST</v>
      </c>
      <c r="K21" s="46"/>
      <c r="L21" s="46"/>
      <c r="M21" s="46"/>
      <c r="N21" s="46"/>
      <c r="Q21" s="65" t="s">
        <v>362</v>
      </c>
      <c r="R21" s="197">
        <f>L22+M7+M10+L16</f>
        <v>62</v>
      </c>
      <c r="S21" s="197">
        <f>M22+L7+L10+M16</f>
        <v>126</v>
      </c>
      <c r="T21" s="551">
        <f t="shared" si="1"/>
        <v>0.49206349206349204</v>
      </c>
    </row>
    <row r="22" spans="2:21" ht="17.25" thickTop="1" thickBot="1">
      <c r="B22" s="214">
        <v>17</v>
      </c>
      <c r="C22" s="215" t="s">
        <v>166</v>
      </c>
      <c r="D22" s="216">
        <v>17</v>
      </c>
      <c r="E22" s="49" t="s">
        <v>59</v>
      </c>
      <c r="F22" s="232" t="s">
        <v>167</v>
      </c>
      <c r="G22" s="118" t="s">
        <v>57</v>
      </c>
      <c r="H22" s="53" t="str">
        <f>VLOOKUP(E22,WD!$C$6:$K$73,3,FALSE)</f>
        <v>SURVIVOR</v>
      </c>
      <c r="I22" s="53" t="s">
        <v>167</v>
      </c>
      <c r="J22" s="53" t="str">
        <f>VLOOKUP(G22,WD!$C$6:$K$73,3,FALSE)</f>
        <v xml:space="preserve">Acti tape </v>
      </c>
      <c r="K22" s="46">
        <v>0</v>
      </c>
      <c r="L22" s="46">
        <f>10+10</f>
        <v>20</v>
      </c>
      <c r="M22" s="46">
        <f>21+21</f>
        <v>42</v>
      </c>
      <c r="N22" s="46">
        <v>2</v>
      </c>
      <c r="O22" s="65" t="s">
        <v>921</v>
      </c>
      <c r="Q22" s="65" t="s">
        <v>366</v>
      </c>
      <c r="R22" s="197">
        <f>M6+M13+L17</f>
        <v>43</v>
      </c>
      <c r="S22" s="197">
        <f>L6+L13+M17</f>
        <v>126</v>
      </c>
      <c r="T22" s="551">
        <f t="shared" si="1"/>
        <v>0.34126984126984128</v>
      </c>
    </row>
    <row r="23" spans="2:21" ht="17.25" thickTop="1" thickBot="1">
      <c r="B23" s="221">
        <v>18</v>
      </c>
      <c r="C23" s="215" t="s">
        <v>166</v>
      </c>
      <c r="D23" s="216">
        <v>18</v>
      </c>
      <c r="E23" s="49" t="s">
        <v>60</v>
      </c>
      <c r="F23" s="232" t="s">
        <v>167</v>
      </c>
      <c r="G23" s="118" t="s">
        <v>58</v>
      </c>
      <c r="H23" s="53" t="str">
        <f>VLOOKUP(E23,WD!$C$6:$K$73,3,FALSE)</f>
        <v>Yumika</v>
      </c>
      <c r="I23" s="53" t="s">
        <v>167</v>
      </c>
      <c r="J23" s="53" t="str">
        <f>VLOOKUP(G23,WD!$C$6:$K$73,3,FALSE)</f>
        <v>YhtNyi</v>
      </c>
      <c r="K23" s="46"/>
      <c r="L23" s="46"/>
      <c r="M23" s="46"/>
      <c r="N23" s="46"/>
    </row>
    <row r="24" spans="2:21" ht="17.25" thickTop="1" thickBot="1">
      <c r="B24" s="214">
        <v>19</v>
      </c>
      <c r="C24" s="215" t="s">
        <v>166</v>
      </c>
      <c r="D24" s="216">
        <v>19</v>
      </c>
      <c r="E24" s="49" t="s">
        <v>53</v>
      </c>
      <c r="F24" s="232" t="s">
        <v>167</v>
      </c>
      <c r="G24" s="118" t="s">
        <v>55</v>
      </c>
      <c r="H24" s="53" t="str">
        <f>VLOOKUP(E24,WD!$C$6:$K$73,3,FALSE)</f>
        <v>ST</v>
      </c>
      <c r="I24" s="53" t="s">
        <v>167</v>
      </c>
      <c r="J24" s="53" t="str">
        <f>VLOOKUP(G24,WD!$C$6:$K$73,3,FALSE)</f>
        <v>羚靖</v>
      </c>
      <c r="K24" s="46"/>
      <c r="L24" s="46"/>
      <c r="M24" s="46"/>
      <c r="N24" s="46"/>
    </row>
    <row r="25" spans="2:21" ht="17.25" thickTop="1" thickBot="1">
      <c r="B25" s="221">
        <v>20</v>
      </c>
      <c r="C25" s="215" t="s">
        <v>166</v>
      </c>
      <c r="D25" s="216">
        <v>20</v>
      </c>
      <c r="E25" s="514" t="s">
        <v>56</v>
      </c>
      <c r="F25" s="236" t="s">
        <v>167</v>
      </c>
      <c r="G25" s="515" t="s">
        <v>54</v>
      </c>
      <c r="H25" s="53" t="str">
        <f>VLOOKUP(E25,WD!$C$6:$K$73,3,FALSE)</f>
        <v>Men</v>
      </c>
      <c r="I25" s="53" t="s">
        <v>167</v>
      </c>
      <c r="J25" s="53" t="str">
        <f>VLOOKUP(G25,WD!$C$6:$K$73,3,FALSE)</f>
        <v>荃青—AYY</v>
      </c>
      <c r="K25" s="46"/>
      <c r="L25" s="46"/>
      <c r="M25" s="46"/>
      <c r="N25" s="46"/>
    </row>
    <row r="26" spans="2:21" ht="17.25" thickTop="1" thickBot="1">
      <c r="B26" s="214">
        <v>21</v>
      </c>
      <c r="C26" s="215" t="s">
        <v>166</v>
      </c>
      <c r="D26" s="216">
        <v>21</v>
      </c>
      <c r="E26" s="49" t="s">
        <v>57</v>
      </c>
      <c r="F26" s="232" t="s">
        <v>167</v>
      </c>
      <c r="G26" s="118" t="s">
        <v>58</v>
      </c>
      <c r="H26" s="53" t="str">
        <f>VLOOKUP(E26,WD!$C$6:$K$73,3,FALSE)</f>
        <v xml:space="preserve">Acti tape </v>
      </c>
      <c r="I26" s="53" t="s">
        <v>167</v>
      </c>
      <c r="J26" s="53" t="str">
        <f>VLOOKUP(G26,WD!$C$6:$K$73,3,FALSE)</f>
        <v>YhtNyi</v>
      </c>
      <c r="K26" s="46"/>
      <c r="L26" s="46"/>
      <c r="M26" s="46"/>
      <c r="N26" s="46"/>
    </row>
    <row r="27" spans="2:21" ht="17.25" thickTop="1" thickBot="1">
      <c r="B27" s="221">
        <v>22</v>
      </c>
      <c r="C27" s="215" t="s">
        <v>166</v>
      </c>
      <c r="D27" s="216">
        <v>22</v>
      </c>
      <c r="E27" s="49" t="s">
        <v>60</v>
      </c>
      <c r="F27" s="232" t="s">
        <v>167</v>
      </c>
      <c r="G27" s="118" t="s">
        <v>59</v>
      </c>
      <c r="H27" s="53" t="str">
        <f>VLOOKUP(E27,WD!$C$6:$K$73,3,FALSE)</f>
        <v>Yumika</v>
      </c>
      <c r="I27" s="53" t="s">
        <v>167</v>
      </c>
      <c r="J27" s="53" t="str">
        <f>VLOOKUP(G27,WD!$C$6:$K$73,3,FALSE)</f>
        <v>SURVIVOR</v>
      </c>
      <c r="K27" s="46"/>
      <c r="L27" s="46"/>
      <c r="M27" s="46"/>
      <c r="N27" s="46"/>
    </row>
    <row r="28" spans="2:21" ht="17.25" thickTop="1" thickBot="1">
      <c r="B28" s="214">
        <v>23</v>
      </c>
      <c r="C28" s="215" t="s">
        <v>166</v>
      </c>
      <c r="D28" s="216">
        <v>23</v>
      </c>
      <c r="E28" s="49" t="s">
        <v>54</v>
      </c>
      <c r="F28" s="232" t="s">
        <v>167</v>
      </c>
      <c r="G28" s="118" t="s">
        <v>55</v>
      </c>
      <c r="H28" s="53" t="str">
        <f>VLOOKUP(E28,WD!$C$6:$K$73,3,FALSE)</f>
        <v>荃青—AYY</v>
      </c>
      <c r="I28" s="53" t="s">
        <v>167</v>
      </c>
      <c r="J28" s="53" t="str">
        <f>VLOOKUP(G28,WD!$C$6:$K$73,3,FALSE)</f>
        <v>羚靖</v>
      </c>
      <c r="K28" s="46"/>
      <c r="L28" s="46"/>
      <c r="M28" s="46"/>
      <c r="N28" s="46"/>
    </row>
    <row r="29" spans="2:21" ht="17.25" thickTop="1" thickBot="1">
      <c r="B29" s="221">
        <v>24</v>
      </c>
      <c r="C29" s="215" t="s">
        <v>166</v>
      </c>
      <c r="D29" s="216">
        <v>24</v>
      </c>
      <c r="E29" s="514" t="s">
        <v>53</v>
      </c>
      <c r="F29" s="236" t="s">
        <v>167</v>
      </c>
      <c r="G29" s="515" t="s">
        <v>56</v>
      </c>
      <c r="H29" s="53" t="str">
        <f>VLOOKUP(E29,WD!$C$6:$K$73,3,FALSE)</f>
        <v>ST</v>
      </c>
      <c r="I29" s="53" t="s">
        <v>167</v>
      </c>
      <c r="J29" s="53" t="str">
        <f>VLOOKUP(G29,WD!$C$6:$K$73,3,FALSE)</f>
        <v>Men</v>
      </c>
      <c r="K29" s="46"/>
      <c r="L29" s="46"/>
      <c r="M29" s="46"/>
      <c r="N29" s="46"/>
    </row>
    <row r="30" spans="2:21" ht="17.25" thickTop="1" thickBot="1">
      <c r="B30" s="214">
        <v>25</v>
      </c>
      <c r="C30" s="215" t="s">
        <v>166</v>
      </c>
      <c r="D30" s="216">
        <v>25</v>
      </c>
      <c r="E30" s="49" t="s">
        <v>56</v>
      </c>
      <c r="F30" s="232" t="s">
        <v>167</v>
      </c>
      <c r="G30" s="118" t="s">
        <v>60</v>
      </c>
      <c r="H30" s="53" t="str">
        <f>VLOOKUP(E30,WD!$C$6:$K$73,3,FALSE)</f>
        <v>Men</v>
      </c>
      <c r="I30" s="53" t="s">
        <v>167</v>
      </c>
      <c r="J30" s="53" t="str">
        <f>VLOOKUP(G30,WD!$C$6:$K$73,3,FALSE)</f>
        <v>Yumika</v>
      </c>
      <c r="K30" s="46"/>
      <c r="L30" s="46"/>
      <c r="M30" s="46"/>
      <c r="N30" s="46"/>
    </row>
    <row r="31" spans="2:21" ht="17.25" thickTop="1" thickBot="1">
      <c r="B31" s="221">
        <v>26</v>
      </c>
      <c r="C31" s="215" t="s">
        <v>166</v>
      </c>
      <c r="D31" s="216">
        <v>26</v>
      </c>
      <c r="E31" s="49" t="s">
        <v>58</v>
      </c>
      <c r="F31" s="232" t="s">
        <v>167</v>
      </c>
      <c r="G31" s="118" t="s">
        <v>54</v>
      </c>
      <c r="H31" s="53" t="str">
        <f>VLOOKUP(E31,WD!$C$6:$K$73,3,FALSE)</f>
        <v>YhtNyi</v>
      </c>
      <c r="I31" s="53" t="s">
        <v>167</v>
      </c>
      <c r="J31" s="53" t="str">
        <f>VLOOKUP(G31,WD!$C$6:$K$73,3,FALSE)</f>
        <v>荃青—AYY</v>
      </c>
      <c r="K31" s="46"/>
      <c r="L31" s="46"/>
      <c r="M31" s="46"/>
      <c r="N31" s="46"/>
    </row>
    <row r="32" spans="2:21" ht="17.25" thickTop="1" thickBot="1">
      <c r="B32" s="214">
        <v>27</v>
      </c>
      <c r="C32" s="215" t="s">
        <v>166</v>
      </c>
      <c r="D32" s="216">
        <v>27</v>
      </c>
      <c r="E32" s="49" t="s">
        <v>59</v>
      </c>
      <c r="F32" s="232" t="s">
        <v>167</v>
      </c>
      <c r="G32" s="118" t="s">
        <v>53</v>
      </c>
      <c r="H32" s="53" t="str">
        <f>VLOOKUP(E32,WD!$C$6:$K$73,3,FALSE)</f>
        <v>SURVIVOR</v>
      </c>
      <c r="I32" s="53" t="s">
        <v>167</v>
      </c>
      <c r="J32" s="53" t="str">
        <f>VLOOKUP(G32,WD!$C$6:$K$73,3,FALSE)</f>
        <v>ST</v>
      </c>
      <c r="K32" s="46"/>
      <c r="L32" s="46"/>
      <c r="M32" s="46"/>
      <c r="N32" s="46"/>
    </row>
    <row r="33" spans="2:14" ht="16.5" thickTop="1">
      <c r="B33" s="221">
        <v>28</v>
      </c>
      <c r="C33" s="226" t="s">
        <v>166</v>
      </c>
      <c r="D33" s="227">
        <v>28</v>
      </c>
      <c r="E33" s="514" t="s">
        <v>57</v>
      </c>
      <c r="F33" s="236" t="s">
        <v>167</v>
      </c>
      <c r="G33" s="515" t="s">
        <v>55</v>
      </c>
      <c r="H33" s="291" t="str">
        <f>VLOOKUP(E33,WD!$C$6:$K$73,3,FALSE)</f>
        <v xml:space="preserve">Acti tape </v>
      </c>
      <c r="I33" s="291" t="s">
        <v>167</v>
      </c>
      <c r="J33" s="291" t="str">
        <f>VLOOKUP(G33,WD!$C$6:$K$73,3,FALSE)</f>
        <v>羚靖</v>
      </c>
      <c r="K33" s="46"/>
      <c r="L33" s="46"/>
      <c r="M33" s="46"/>
      <c r="N33" s="46"/>
    </row>
    <row r="34" spans="2:14" hidden="1">
      <c r="B34" s="214">
        <v>29</v>
      </c>
      <c r="C34" s="229" t="s">
        <v>168</v>
      </c>
      <c r="D34" s="230">
        <v>5</v>
      </c>
      <c r="E34" s="231" t="s">
        <v>99</v>
      </c>
      <c r="F34" s="232" t="s">
        <v>167</v>
      </c>
      <c r="G34" s="233" t="s">
        <v>108</v>
      </c>
      <c r="H34" s="48" t="str">
        <f>VLOOKUP(E34,MD!$C$6:$K$54,3,FALSE)</f>
        <v>爸爸隊</v>
      </c>
      <c r="I34" s="48" t="s">
        <v>167</v>
      </c>
      <c r="J34" s="48" t="str">
        <f>VLOOKUP(G34,MD!$C$6:$K$54,3,FALSE)</f>
        <v xml:space="preserve">Alison volleyball </v>
      </c>
      <c r="K34" s="46"/>
      <c r="L34" s="46"/>
      <c r="M34" s="46"/>
      <c r="N34" s="46"/>
    </row>
    <row r="35" spans="2:14" ht="16.5" hidden="1" thickTop="1">
      <c r="B35" s="221">
        <v>30</v>
      </c>
      <c r="C35" s="229" t="s">
        <v>168</v>
      </c>
      <c r="D35" s="234">
        <v>6</v>
      </c>
      <c r="E35" s="235" t="s">
        <v>66</v>
      </c>
      <c r="F35" s="236" t="s">
        <v>167</v>
      </c>
      <c r="G35" s="237" t="s">
        <v>70</v>
      </c>
      <c r="H35" s="53" t="str">
        <f>VLOOKUP(E35,MD!$C$6:$K$54,3,FALSE)</f>
        <v>SKTL</v>
      </c>
      <c r="I35" s="53" t="s">
        <v>167</v>
      </c>
      <c r="J35" s="53" t="str">
        <f>VLOOKUP(G35,MD!$C$6:$K$54,3,FALSE)</f>
        <v>夢幻組合</v>
      </c>
      <c r="K35" s="46"/>
      <c r="L35" s="46"/>
      <c r="M35" s="46"/>
      <c r="N35" s="46"/>
    </row>
    <row r="36" spans="2:14" ht="16.5" hidden="1" thickTop="1">
      <c r="B36" s="214">
        <v>31</v>
      </c>
      <c r="C36" s="238" t="s">
        <v>169</v>
      </c>
      <c r="D36" s="230">
        <v>1</v>
      </c>
      <c r="E36" s="239" t="s">
        <v>67</v>
      </c>
      <c r="F36" s="240" t="s">
        <v>167</v>
      </c>
      <c r="G36" s="241" t="s">
        <v>109</v>
      </c>
      <c r="H36" s="53" t="str">
        <f>VLOOKUP(E36,MD!$C$6:$K$54,3,FALSE)</f>
        <v>SCAA YA</v>
      </c>
      <c r="I36" s="53" t="s">
        <v>167</v>
      </c>
      <c r="J36" s="53" t="str">
        <f>VLOOKUP(G36,MD!$C$6:$K$54,3,FALSE)</f>
        <v>SCAA 99</v>
      </c>
      <c r="K36" s="46"/>
      <c r="L36" s="46"/>
      <c r="M36" s="46"/>
      <c r="N36" s="46"/>
    </row>
    <row r="37" spans="2:14" ht="16.5" hidden="1" thickTop="1">
      <c r="B37" s="221">
        <v>32</v>
      </c>
      <c r="C37" s="229" t="s">
        <v>169</v>
      </c>
      <c r="D37" s="230">
        <v>2</v>
      </c>
      <c r="E37" s="231" t="s">
        <v>91</v>
      </c>
      <c r="F37" s="232" t="s">
        <v>167</v>
      </c>
      <c r="G37" s="233" t="s">
        <v>78</v>
      </c>
      <c r="H37" s="53" t="str">
        <f>VLOOKUP(E37,MD!$C$6:$K$54,3,FALSE)</f>
        <v>撈碧鵰</v>
      </c>
      <c r="I37" s="53" t="s">
        <v>167</v>
      </c>
      <c r="J37" s="53">
        <f>VLOOKUP(G37,MD!$C$6:$K$54,3,FALSE)</f>
        <v>1987.5</v>
      </c>
      <c r="K37" s="46"/>
      <c r="L37" s="46"/>
      <c r="M37" s="46"/>
      <c r="N37" s="46"/>
    </row>
    <row r="38" spans="2:14" ht="16.5" hidden="1" thickTop="1">
      <c r="B38" s="214">
        <v>33</v>
      </c>
      <c r="C38" s="229" t="s">
        <v>169</v>
      </c>
      <c r="D38" s="230">
        <v>3</v>
      </c>
      <c r="E38" s="231" t="s">
        <v>67</v>
      </c>
      <c r="F38" s="232" t="s">
        <v>167</v>
      </c>
      <c r="G38" s="233" t="s">
        <v>78</v>
      </c>
      <c r="H38" s="53" t="str">
        <f>VLOOKUP(E38,MD!$C$6:$K$54,3,FALSE)</f>
        <v>SCAA YA</v>
      </c>
      <c r="I38" s="53" t="s">
        <v>167</v>
      </c>
      <c r="J38" s="53">
        <f>VLOOKUP(G38,MD!$C$6:$K$54,3,FALSE)</f>
        <v>1987.5</v>
      </c>
      <c r="K38" s="46"/>
      <c r="L38" s="46"/>
      <c r="M38" s="46"/>
      <c r="N38" s="46"/>
    </row>
    <row r="39" spans="2:14" ht="16.5" hidden="1" thickTop="1">
      <c r="B39" s="221">
        <v>34</v>
      </c>
      <c r="C39" s="229" t="s">
        <v>169</v>
      </c>
      <c r="D39" s="230">
        <v>4</v>
      </c>
      <c r="E39" s="231" t="s">
        <v>91</v>
      </c>
      <c r="F39" s="232" t="s">
        <v>167</v>
      </c>
      <c r="G39" s="233" t="s">
        <v>109</v>
      </c>
      <c r="H39" s="53" t="str">
        <f>VLOOKUP(E39,MD!$C$6:$K$54,3,FALSE)</f>
        <v>撈碧鵰</v>
      </c>
      <c r="I39" s="53" t="s">
        <v>167</v>
      </c>
      <c r="J39" s="53" t="str">
        <f>VLOOKUP(G39,MD!$C$6:$K$54,3,FALSE)</f>
        <v>SCAA 99</v>
      </c>
      <c r="K39" s="46"/>
      <c r="L39" s="46"/>
      <c r="M39" s="46"/>
      <c r="N39" s="46"/>
    </row>
    <row r="40" spans="2:14" ht="16.5" hidden="1" thickTop="1">
      <c r="B40" s="214">
        <v>35</v>
      </c>
      <c r="C40" s="229" t="s">
        <v>169</v>
      </c>
      <c r="D40" s="230">
        <v>5</v>
      </c>
      <c r="E40" s="231" t="s">
        <v>78</v>
      </c>
      <c r="F40" s="232" t="s">
        <v>167</v>
      </c>
      <c r="G40" s="233" t="s">
        <v>109</v>
      </c>
      <c r="H40" s="53">
        <f>VLOOKUP(E40,MD!$C$6:$K$54,3,FALSE)</f>
        <v>1987.5</v>
      </c>
      <c r="I40" s="53" t="s">
        <v>167</v>
      </c>
      <c r="J40" s="53" t="str">
        <f>VLOOKUP(G40,MD!$C$6:$K$54,3,FALSE)</f>
        <v>SCAA 99</v>
      </c>
      <c r="K40" s="46"/>
      <c r="L40" s="46"/>
      <c r="M40" s="46"/>
      <c r="N40" s="46"/>
    </row>
    <row r="41" spans="2:14" ht="16.5" hidden="1" thickTop="1">
      <c r="B41" s="221">
        <v>36</v>
      </c>
      <c r="C41" s="242" t="s">
        <v>169</v>
      </c>
      <c r="D41" s="234">
        <v>6</v>
      </c>
      <c r="E41" s="235" t="s">
        <v>67</v>
      </c>
      <c r="F41" s="236" t="s">
        <v>167</v>
      </c>
      <c r="G41" s="237" t="s">
        <v>91</v>
      </c>
      <c r="H41" s="53" t="str">
        <f>VLOOKUP(E41,MD!$C$6:$K$54,3,FALSE)</f>
        <v>SCAA YA</v>
      </c>
      <c r="I41" s="53" t="s">
        <v>167</v>
      </c>
      <c r="J41" s="53" t="str">
        <f>VLOOKUP(G41,MD!$C$6:$K$54,3,FALSE)</f>
        <v>撈碧鵰</v>
      </c>
      <c r="K41" s="46"/>
      <c r="L41" s="46"/>
      <c r="M41" s="46"/>
      <c r="N41" s="46"/>
    </row>
    <row r="42" spans="2:14" ht="16.5" hidden="1" thickTop="1">
      <c r="B42" s="214">
        <v>37</v>
      </c>
      <c r="C42" s="243" t="s">
        <v>170</v>
      </c>
      <c r="D42" s="230">
        <v>1</v>
      </c>
      <c r="E42" s="239" t="s">
        <v>87</v>
      </c>
      <c r="F42" s="240" t="s">
        <v>167</v>
      </c>
      <c r="G42" s="241" t="s">
        <v>111</v>
      </c>
      <c r="H42" s="53" t="str">
        <f>VLOOKUP(E42,MD!$C$6:$K$54,3,FALSE)</f>
        <v>Zlatan</v>
      </c>
      <c r="I42" s="53" t="s">
        <v>167</v>
      </c>
      <c r="J42" s="53" t="str">
        <f>VLOOKUP(G42,MD!$C$6:$K$54,3,FALSE)</f>
        <v>SCAA x CSUN</v>
      </c>
      <c r="K42" s="46"/>
      <c r="L42" s="46"/>
      <c r="M42" s="46"/>
      <c r="N42" s="46"/>
    </row>
    <row r="43" spans="2:14" ht="16.5" hidden="1" thickTop="1">
      <c r="B43" s="221">
        <v>38</v>
      </c>
      <c r="C43" s="243" t="s">
        <v>170</v>
      </c>
      <c r="D43" s="230">
        <v>2</v>
      </c>
      <c r="E43" s="231" t="s">
        <v>92</v>
      </c>
      <c r="F43" s="232" t="s">
        <v>167</v>
      </c>
      <c r="G43" s="233" t="s">
        <v>79</v>
      </c>
      <c r="H43" s="53" t="str">
        <f>VLOOKUP(E43,MD!$C$6:$K$54,3,FALSE)</f>
        <v>紅藍</v>
      </c>
      <c r="I43" s="53" t="s">
        <v>167</v>
      </c>
      <c r="J43" s="53" t="str">
        <f>VLOOKUP(G43,MD!$C$6:$K$54,3,FALSE)</f>
        <v>企拍</v>
      </c>
      <c r="K43" s="46"/>
      <c r="L43" s="46"/>
      <c r="M43" s="46"/>
      <c r="N43" s="46"/>
    </row>
    <row r="44" spans="2:14" ht="16.5" hidden="1" thickTop="1">
      <c r="B44" s="214">
        <v>39</v>
      </c>
      <c r="C44" s="243" t="s">
        <v>170</v>
      </c>
      <c r="D44" s="230">
        <v>3</v>
      </c>
      <c r="E44" s="231" t="s">
        <v>87</v>
      </c>
      <c r="F44" s="232" t="s">
        <v>167</v>
      </c>
      <c r="G44" s="233" t="s">
        <v>79</v>
      </c>
      <c r="H44" s="53" t="str">
        <f>VLOOKUP(E44,MD!$C$6:$K$54,3,FALSE)</f>
        <v>Zlatan</v>
      </c>
      <c r="I44" s="53" t="s">
        <v>167</v>
      </c>
      <c r="J44" s="53" t="str">
        <f>VLOOKUP(G44,MD!$C$6:$K$54,3,FALSE)</f>
        <v>企拍</v>
      </c>
      <c r="K44" s="46"/>
      <c r="L44" s="46"/>
      <c r="M44" s="46"/>
      <c r="N44" s="46"/>
    </row>
    <row r="45" spans="2:14" ht="16.5" hidden="1" thickTop="1">
      <c r="B45" s="221">
        <v>40</v>
      </c>
      <c r="C45" s="243" t="s">
        <v>170</v>
      </c>
      <c r="D45" s="230">
        <v>4</v>
      </c>
      <c r="E45" s="231" t="s">
        <v>92</v>
      </c>
      <c r="F45" s="232" t="s">
        <v>167</v>
      </c>
      <c r="G45" s="233" t="s">
        <v>111</v>
      </c>
      <c r="H45" s="53" t="str">
        <f>VLOOKUP(E45,MD!$C$6:$K$54,3,FALSE)</f>
        <v>紅藍</v>
      </c>
      <c r="I45" s="53" t="s">
        <v>167</v>
      </c>
      <c r="J45" s="53" t="str">
        <f>VLOOKUP(G45,MD!$C$6:$K$54,3,FALSE)</f>
        <v>SCAA x CSUN</v>
      </c>
      <c r="K45" s="46"/>
      <c r="L45" s="46"/>
      <c r="M45" s="46"/>
      <c r="N45" s="46"/>
    </row>
    <row r="46" spans="2:14" ht="16.5" hidden="1" thickTop="1">
      <c r="B46" s="214">
        <v>41</v>
      </c>
      <c r="C46" s="243" t="s">
        <v>170</v>
      </c>
      <c r="D46" s="230">
        <v>5</v>
      </c>
      <c r="E46" s="231" t="s">
        <v>79</v>
      </c>
      <c r="F46" s="232" t="s">
        <v>167</v>
      </c>
      <c r="G46" s="233" t="s">
        <v>111</v>
      </c>
      <c r="H46" s="53" t="str">
        <f>VLOOKUP(E46,MD!$C$6:$K$54,3,FALSE)</f>
        <v>企拍</v>
      </c>
      <c r="I46" s="53" t="s">
        <v>167</v>
      </c>
      <c r="J46" s="53" t="str">
        <f>VLOOKUP(G46,MD!$C$6:$K$54,3,FALSE)</f>
        <v>SCAA x CSUN</v>
      </c>
      <c r="K46" s="46"/>
      <c r="L46" s="46"/>
      <c r="M46" s="46"/>
      <c r="N46" s="46"/>
    </row>
    <row r="47" spans="2:14" ht="16.5" hidden="1" thickTop="1">
      <c r="B47" s="221">
        <v>42</v>
      </c>
      <c r="C47" s="242" t="s">
        <v>170</v>
      </c>
      <c r="D47" s="234">
        <v>6</v>
      </c>
      <c r="E47" s="235" t="s">
        <v>87</v>
      </c>
      <c r="F47" s="236" t="s">
        <v>167</v>
      </c>
      <c r="G47" s="237" t="s">
        <v>92</v>
      </c>
      <c r="H47" s="53" t="str">
        <f>VLOOKUP(E47,MD!$C$6:$K$54,3,FALSE)</f>
        <v>Zlatan</v>
      </c>
      <c r="I47" s="53" t="s">
        <v>167</v>
      </c>
      <c r="J47" s="53" t="str">
        <f>VLOOKUP(G47,MD!$C$6:$K$54,3,FALSE)</f>
        <v>紅藍</v>
      </c>
      <c r="K47" s="46"/>
      <c r="L47" s="46"/>
      <c r="M47" s="46"/>
      <c r="N47" s="46"/>
    </row>
    <row r="48" spans="2:14" ht="16.5" hidden="1" thickTop="1">
      <c r="B48" s="214">
        <v>43</v>
      </c>
      <c r="C48" s="243" t="s">
        <v>171</v>
      </c>
      <c r="D48" s="230">
        <v>1</v>
      </c>
      <c r="E48" s="231" t="s">
        <v>88</v>
      </c>
      <c r="F48" s="232" t="s">
        <v>167</v>
      </c>
      <c r="G48" s="233" t="s">
        <v>81</v>
      </c>
      <c r="H48" s="53" t="str">
        <f>VLOOKUP(E48,MD!$C$6:$K$54,3,FALSE)</f>
        <v>ALPS_我要買GTR</v>
      </c>
      <c r="I48" s="53" t="s">
        <v>167</v>
      </c>
      <c r="J48" s="53" t="str">
        <f>VLOOKUP(G48,MD!$C$6:$K$54,3,FALSE)</f>
        <v>ALPS - 平均米九</v>
      </c>
      <c r="K48" s="46"/>
      <c r="L48" s="46"/>
      <c r="M48" s="46"/>
      <c r="N48" s="46"/>
    </row>
    <row r="49" spans="2:14" ht="16.5" hidden="1" thickTop="1">
      <c r="B49" s="221">
        <v>44</v>
      </c>
      <c r="C49" s="243" t="s">
        <v>171</v>
      </c>
      <c r="D49" s="230">
        <v>2</v>
      </c>
      <c r="E49" s="231" t="s">
        <v>68</v>
      </c>
      <c r="F49" s="232" t="s">
        <v>167</v>
      </c>
      <c r="G49" s="233" t="s">
        <v>80</v>
      </c>
      <c r="H49" s="53" t="str">
        <f>VLOOKUP(E49,MD!$C$6:$K$54,3,FALSE)</f>
        <v>FS</v>
      </c>
      <c r="I49" s="53" t="s">
        <v>167</v>
      </c>
      <c r="J49" s="53" t="str">
        <f>VLOOKUP(G49,MD!$C$6:$K$54,3,FALSE)</f>
        <v>LSC</v>
      </c>
      <c r="K49" s="46"/>
      <c r="L49" s="46"/>
      <c r="M49" s="46"/>
      <c r="N49" s="46"/>
    </row>
    <row r="50" spans="2:14" ht="16.5" hidden="1" thickTop="1">
      <c r="B50" s="214">
        <v>45</v>
      </c>
      <c r="C50" s="243" t="s">
        <v>171</v>
      </c>
      <c r="D50" s="230">
        <v>3</v>
      </c>
      <c r="E50" s="231" t="s">
        <v>88</v>
      </c>
      <c r="F50" s="232" t="s">
        <v>167</v>
      </c>
      <c r="G50" s="233" t="s">
        <v>80</v>
      </c>
      <c r="H50" s="53" t="str">
        <f>VLOOKUP(E50,MD!$C$6:$K$54,3,FALSE)</f>
        <v>ALPS_我要買GTR</v>
      </c>
      <c r="I50" s="53" t="s">
        <v>167</v>
      </c>
      <c r="J50" s="53" t="str">
        <f>VLOOKUP(G50,MD!$C$6:$K$54,3,FALSE)</f>
        <v>LSC</v>
      </c>
      <c r="K50" s="46"/>
      <c r="L50" s="46"/>
      <c r="M50" s="46"/>
      <c r="N50" s="46"/>
    </row>
    <row r="51" spans="2:14" ht="16.5" hidden="1" thickTop="1">
      <c r="B51" s="221">
        <v>46</v>
      </c>
      <c r="C51" s="243" t="s">
        <v>171</v>
      </c>
      <c r="D51" s="230">
        <v>4</v>
      </c>
      <c r="E51" s="231" t="s">
        <v>68</v>
      </c>
      <c r="F51" s="232" t="s">
        <v>167</v>
      </c>
      <c r="G51" s="233" t="s">
        <v>81</v>
      </c>
      <c r="H51" s="53" t="str">
        <f>VLOOKUP(E51,MD!$C$6:$K$54,3,FALSE)</f>
        <v>FS</v>
      </c>
      <c r="I51" s="53" t="s">
        <v>167</v>
      </c>
      <c r="J51" s="53" t="str">
        <f>VLOOKUP(G51,MD!$C$6:$K$54,3,FALSE)</f>
        <v>ALPS - 平均米九</v>
      </c>
      <c r="K51" s="46"/>
      <c r="L51" s="46"/>
      <c r="M51" s="46"/>
      <c r="N51" s="46"/>
    </row>
    <row r="52" spans="2:14" ht="16.5" hidden="1" thickTop="1">
      <c r="B52" s="214">
        <v>47</v>
      </c>
      <c r="C52" s="243" t="s">
        <v>171</v>
      </c>
      <c r="D52" s="230">
        <v>5</v>
      </c>
      <c r="E52" s="231" t="s">
        <v>80</v>
      </c>
      <c r="F52" s="232" t="s">
        <v>167</v>
      </c>
      <c r="G52" s="233" t="s">
        <v>81</v>
      </c>
      <c r="H52" s="53" t="str">
        <f>VLOOKUP(E52,MD!$C$6:$K$54,3,FALSE)</f>
        <v>LSC</v>
      </c>
      <c r="I52" s="53" t="s">
        <v>167</v>
      </c>
      <c r="J52" s="53" t="str">
        <f>VLOOKUP(G52,MD!$C$6:$K$54,3,FALSE)</f>
        <v>ALPS - 平均米九</v>
      </c>
      <c r="K52" s="46"/>
      <c r="L52" s="46"/>
      <c r="M52" s="46"/>
      <c r="N52" s="46"/>
    </row>
    <row r="53" spans="2:14" ht="16.5" hidden="1" thickTop="1">
      <c r="B53" s="221">
        <v>48</v>
      </c>
      <c r="C53" s="244" t="s">
        <v>171</v>
      </c>
      <c r="D53" s="234">
        <v>6</v>
      </c>
      <c r="E53" s="235" t="s">
        <v>88</v>
      </c>
      <c r="F53" s="236" t="s">
        <v>167</v>
      </c>
      <c r="G53" s="237" t="s">
        <v>68</v>
      </c>
      <c r="H53" s="53" t="str">
        <f>VLOOKUP(E53,MD!$C$6:$K$54,3,FALSE)</f>
        <v>ALPS_我要買GTR</v>
      </c>
      <c r="I53" s="55" t="s">
        <v>167</v>
      </c>
      <c r="J53" s="53" t="str">
        <f>VLOOKUP(G53,MD!$C$6:$K$54,3,FALSE)</f>
        <v>FS</v>
      </c>
      <c r="K53" s="46"/>
      <c r="L53" s="46"/>
      <c r="M53" s="46"/>
      <c r="N53" s="46"/>
    </row>
    <row r="54" spans="2:14" ht="16.5" hidden="1" thickBot="1">
      <c r="B54" s="245"/>
      <c r="C54" s="245"/>
      <c r="D54" s="245"/>
      <c r="E54" s="245"/>
      <c r="F54" s="245"/>
      <c r="G54" s="245"/>
      <c r="H54" s="48" t="e">
        <f>VLOOKUP(E54,#REF!,3,FALSE)</f>
        <v>#REF!</v>
      </c>
    </row>
    <row r="55" spans="2:14">
      <c r="L55" s="197" t="s">
        <v>269</v>
      </c>
    </row>
  </sheetData>
  <sheetProtection selectLockedCells="1" selectUnlockedCells="1"/>
  <mergeCells count="1">
    <mergeCell ref="H3:J3"/>
  </mergeCells>
  <phoneticPr fontId="49" type="noConversion"/>
  <printOptions horizontalCentered="1" verticalCentered="1"/>
  <pageMargins left="0.74791666666666667" right="0.74791666666666667" top="0.52013888888888893" bottom="0.54027777777777775" header="0.51180555555555551" footer="0.51180555555555551"/>
  <pageSetup paperSize="9" scale="64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具名範圍</vt:lpstr>
      </vt:variant>
      <vt:variant>
        <vt:i4>12</vt:i4>
      </vt:variant>
    </vt:vector>
  </HeadingPairs>
  <TitlesOfParts>
    <vt:vector size="24" baseType="lpstr">
      <vt:lpstr>須知</vt:lpstr>
      <vt:lpstr>MD</vt:lpstr>
      <vt:lpstr>MAFormat</vt:lpstr>
      <vt:lpstr>男甲賽程</vt:lpstr>
      <vt:lpstr>MBFormat</vt:lpstr>
      <vt:lpstr>男乙賽程</vt:lpstr>
      <vt:lpstr>WD</vt:lpstr>
      <vt:lpstr>WAFormat</vt:lpstr>
      <vt:lpstr>女甲賽程</vt:lpstr>
      <vt:lpstr>WBFormat</vt:lpstr>
      <vt:lpstr>女乙賽程</vt:lpstr>
      <vt:lpstr>TT</vt:lpstr>
      <vt:lpstr>Excel_BuiltIn__FilterDatabase</vt:lpstr>
      <vt:lpstr>MAFormat!Print_Area</vt:lpstr>
      <vt:lpstr>MBFormat!Print_Area</vt:lpstr>
      <vt:lpstr>MD!Print_Area</vt:lpstr>
      <vt:lpstr>WAFormat!Print_Area</vt:lpstr>
      <vt:lpstr>WBFormat!Print_Area</vt:lpstr>
      <vt:lpstr>WD!Print_Area</vt:lpstr>
      <vt:lpstr>女乙賽程!Print_Area</vt:lpstr>
      <vt:lpstr>女甲賽程!Print_Area</vt:lpstr>
      <vt:lpstr>男乙賽程!Print_Area</vt:lpstr>
      <vt:lpstr>男甲賽程!Print_Area</vt:lpstr>
      <vt:lpstr>須知!Print_Area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Ronson</dc:creator>
  <cp:lastModifiedBy>Marcus Kwok</cp:lastModifiedBy>
  <cp:lastPrinted>2019-05-09T04:45:38Z</cp:lastPrinted>
  <dcterms:created xsi:type="dcterms:W3CDTF">2018-05-11T03:35:31Z</dcterms:created>
  <dcterms:modified xsi:type="dcterms:W3CDTF">2019-06-26T08:12:52Z</dcterms:modified>
</cp:coreProperties>
</file>