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9\vbahk_STAFF\Share(TKT)\沙灘排球(本地)\2. 巡迴賽\2019\黃金一站\"/>
    </mc:Choice>
  </mc:AlternateContent>
  <xr:revisionPtr revIDLastSave="0" documentId="13_ncr:1_{89EF6C89-0620-405F-80ED-CA00D05EE91C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須知" sheetId="1" r:id="rId1"/>
    <sheet name="MD" sheetId="2" r:id="rId2"/>
    <sheet name="MAFormat" sheetId="3" r:id="rId3"/>
    <sheet name="男甲賽程" sheetId="4" r:id="rId4"/>
    <sheet name="MBFormat" sheetId="5" r:id="rId5"/>
    <sheet name="男乙賽程" sheetId="6" r:id="rId6"/>
    <sheet name="WD" sheetId="7" r:id="rId7"/>
    <sheet name="WAFormat" sheetId="8" r:id="rId8"/>
    <sheet name="女甲賽程" sheetId="9" r:id="rId9"/>
    <sheet name="WBFormat" sheetId="10" r:id="rId10"/>
    <sheet name="女乙賽程" sheetId="11" r:id="rId11"/>
    <sheet name="TT" sheetId="12" r:id="rId12"/>
  </sheets>
  <definedNames>
    <definedName name="_xlnm._FilterDatabase" localSheetId="1">MD!$B$5:$P$5</definedName>
    <definedName name="_xlnm._FilterDatabase" localSheetId="6">WD!$A$5:$S$5</definedName>
    <definedName name="Excel_BuiltIn__FilterDatabase">WD!$A$5:$U$5</definedName>
    <definedName name="_xlnm.Print_Area" localSheetId="2">MAFormat!$B$1:$F$45</definedName>
    <definedName name="_xlnm.Print_Area" localSheetId="4">MBFormat!$A$1:$N$114</definedName>
    <definedName name="_xlnm.Print_Area" localSheetId="1">MD!$B$1:$O$103</definedName>
    <definedName name="_xlnm.Print_Area" localSheetId="7">WAFormat!$B$1:$H$49</definedName>
    <definedName name="_xlnm.Print_Area" localSheetId="9">WBFormat!$B$1:$L$74</definedName>
    <definedName name="_xlnm.Print_Area" localSheetId="6">WD!$A$1:$O$72</definedName>
    <definedName name="_xlnm.Print_Area" localSheetId="10">女乙賽程!$A$1:$O$41</definedName>
    <definedName name="_xlnm.Print_Area" localSheetId="8">女甲賽程!$B$1:$O$55</definedName>
    <definedName name="_xlnm.Print_Area" localSheetId="5">男乙賽程!$A$1:$O$55</definedName>
    <definedName name="_xlnm.Print_Area" localSheetId="3">男甲賽程!$A$1:$O$55</definedName>
    <definedName name="_xlnm.Print_Area" localSheetId="0">須知!$A$1:$B$55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0" i="11" l="1"/>
  <c r="L40" i="11"/>
  <c r="H37" i="11"/>
  <c r="AC36" i="11"/>
  <c r="AC35" i="11"/>
  <c r="V35" i="11"/>
  <c r="V34" i="11"/>
  <c r="V33" i="11"/>
  <c r="AC32" i="11"/>
  <c r="V32" i="11"/>
  <c r="M32" i="11"/>
  <c r="L32" i="11"/>
  <c r="AC31" i="11"/>
  <c r="V31" i="11"/>
  <c r="A29" i="11"/>
  <c r="A28" i="11"/>
  <c r="J27" i="11"/>
  <c r="A27" i="11"/>
  <c r="A26" i="11"/>
  <c r="AC25" i="11"/>
  <c r="V25" i="11"/>
  <c r="A25" i="11"/>
  <c r="H24" i="11"/>
  <c r="A24" i="11"/>
  <c r="AC23" i="11"/>
  <c r="V23" i="11"/>
  <c r="M23" i="11"/>
  <c r="L23" i="11"/>
  <c r="A23" i="11"/>
  <c r="AC22" i="11"/>
  <c r="V22" i="11"/>
  <c r="A22" i="11"/>
  <c r="AC21" i="11"/>
  <c r="V21" i="11"/>
  <c r="A21" i="11"/>
  <c r="AC20" i="11"/>
  <c r="V20" i="11"/>
  <c r="M20" i="11"/>
  <c r="L20" i="11"/>
  <c r="H20" i="11"/>
  <c r="A20" i="11"/>
  <c r="M19" i="11"/>
  <c r="L19" i="11"/>
  <c r="J19" i="11"/>
  <c r="A19" i="11"/>
  <c r="M17" i="11"/>
  <c r="L17" i="11"/>
  <c r="H17" i="11"/>
  <c r="M14" i="11"/>
  <c r="L14" i="11"/>
  <c r="H14" i="11"/>
  <c r="AC13" i="11"/>
  <c r="V13" i="11"/>
  <c r="M13" i="11"/>
  <c r="L13" i="11"/>
  <c r="AC12" i="11"/>
  <c r="V12" i="11"/>
  <c r="AC11" i="11"/>
  <c r="V11" i="11"/>
  <c r="M11" i="11"/>
  <c r="L11" i="11"/>
  <c r="AC10" i="11"/>
  <c r="V10" i="11"/>
  <c r="A10" i="11"/>
  <c r="AC9" i="11"/>
  <c r="V9" i="11"/>
  <c r="A9" i="11"/>
  <c r="AC8" i="11"/>
  <c r="V8" i="11"/>
  <c r="J8" i="11"/>
  <c r="A8" i="11"/>
  <c r="A7" i="11"/>
  <c r="A6" i="11"/>
  <c r="C75" i="10"/>
  <c r="C51" i="10" s="1"/>
  <c r="C74" i="10"/>
  <c r="C73" i="10"/>
  <c r="C72" i="10"/>
  <c r="C47" i="10" s="1"/>
  <c r="F48" i="10" s="1"/>
  <c r="H46" i="10" s="1"/>
  <c r="J49" i="10" s="1"/>
  <c r="L39" i="10" s="1"/>
  <c r="C70" i="10"/>
  <c r="C36" i="10" s="1"/>
  <c r="C69" i="10"/>
  <c r="C63" i="10"/>
  <c r="E56" i="10"/>
  <c r="E44" i="10"/>
  <c r="C40" i="10"/>
  <c r="H34" i="10"/>
  <c r="J33" i="10" s="1"/>
  <c r="E32" i="10"/>
  <c r="C28" i="10"/>
  <c r="F25" i="10"/>
  <c r="C24" i="10"/>
  <c r="H54" i="9"/>
  <c r="M33" i="9"/>
  <c r="L33" i="9"/>
  <c r="M32" i="9"/>
  <c r="L32" i="9"/>
  <c r="M31" i="9"/>
  <c r="L31" i="9"/>
  <c r="M29" i="9"/>
  <c r="L29" i="9"/>
  <c r="M28" i="9"/>
  <c r="L28" i="9"/>
  <c r="J28" i="9"/>
  <c r="M26" i="9"/>
  <c r="L26" i="9"/>
  <c r="M25" i="9"/>
  <c r="R16" i="9" s="1"/>
  <c r="L25" i="9"/>
  <c r="M24" i="9"/>
  <c r="L24" i="9"/>
  <c r="J23" i="9"/>
  <c r="R22" i="9"/>
  <c r="M22" i="9"/>
  <c r="S21" i="9" s="1"/>
  <c r="L22" i="9"/>
  <c r="H22" i="9"/>
  <c r="M21" i="9"/>
  <c r="L21" i="9"/>
  <c r="H20" i="9"/>
  <c r="M19" i="9"/>
  <c r="L19" i="9"/>
  <c r="M18" i="9"/>
  <c r="L18" i="9"/>
  <c r="S17" i="9"/>
  <c r="M17" i="9"/>
  <c r="L17" i="9"/>
  <c r="J17" i="9"/>
  <c r="M16" i="9"/>
  <c r="L16" i="9"/>
  <c r="H16" i="9"/>
  <c r="J15" i="9"/>
  <c r="M14" i="9"/>
  <c r="L14" i="9"/>
  <c r="J14" i="9"/>
  <c r="M13" i="9"/>
  <c r="L13" i="9"/>
  <c r="J13" i="9"/>
  <c r="U12" i="9"/>
  <c r="M12" i="9"/>
  <c r="L12" i="9"/>
  <c r="U11" i="9"/>
  <c r="M11" i="9"/>
  <c r="L11" i="9"/>
  <c r="U10" i="9"/>
  <c r="M10" i="9"/>
  <c r="L10" i="9"/>
  <c r="H10" i="9"/>
  <c r="U9" i="9"/>
  <c r="M9" i="9"/>
  <c r="L9" i="9"/>
  <c r="R19" i="9" s="1"/>
  <c r="J9" i="9"/>
  <c r="U8" i="9"/>
  <c r="M8" i="9"/>
  <c r="L8" i="9"/>
  <c r="U7" i="9"/>
  <c r="M7" i="9"/>
  <c r="L7" i="9"/>
  <c r="R18" i="9" s="1"/>
  <c r="U6" i="9"/>
  <c r="L6" i="9"/>
  <c r="U5" i="9"/>
  <c r="B32" i="8"/>
  <c r="B29" i="8"/>
  <c r="B26" i="8"/>
  <c r="B23" i="8"/>
  <c r="L77" i="7"/>
  <c r="C77" i="7"/>
  <c r="L76" i="7"/>
  <c r="C76" i="7"/>
  <c r="L75" i="7"/>
  <c r="C75" i="7"/>
  <c r="L74" i="7"/>
  <c r="C74" i="7"/>
  <c r="L73" i="7"/>
  <c r="C73" i="7"/>
  <c r="L72" i="7"/>
  <c r="C72" i="7"/>
  <c r="L71" i="7"/>
  <c r="C71" i="7"/>
  <c r="L70" i="7"/>
  <c r="C70" i="7"/>
  <c r="L69" i="7"/>
  <c r="C69" i="7"/>
  <c r="L68" i="7"/>
  <c r="C68" i="7"/>
  <c r="L67" i="7"/>
  <c r="C67" i="7"/>
  <c r="L66" i="7"/>
  <c r="C66" i="7"/>
  <c r="L65" i="7"/>
  <c r="C65" i="7"/>
  <c r="L64" i="7"/>
  <c r="C64" i="7"/>
  <c r="L63" i="7"/>
  <c r="C63" i="7"/>
  <c r="L62" i="7"/>
  <c r="C62" i="7"/>
  <c r="L61" i="7"/>
  <c r="C61" i="7"/>
  <c r="L60" i="7"/>
  <c r="C60" i="7"/>
  <c r="L59" i="7"/>
  <c r="C59" i="7"/>
  <c r="L58" i="7"/>
  <c r="C58" i="7"/>
  <c r="L57" i="7"/>
  <c r="C57" i="7"/>
  <c r="L56" i="7"/>
  <c r="C56" i="7"/>
  <c r="L55" i="7"/>
  <c r="C55" i="7"/>
  <c r="L54" i="7"/>
  <c r="C54" i="7"/>
  <c r="L53" i="7"/>
  <c r="C53" i="7"/>
  <c r="L52" i="7"/>
  <c r="C52" i="7"/>
  <c r="L51" i="7"/>
  <c r="C51" i="7"/>
  <c r="L50" i="7"/>
  <c r="C50" i="7"/>
  <c r="L49" i="7"/>
  <c r="C49" i="7"/>
  <c r="L48" i="7"/>
  <c r="C48" i="7"/>
  <c r="L47" i="7"/>
  <c r="C47" i="7"/>
  <c r="L46" i="7"/>
  <c r="C46" i="7"/>
  <c r="L45" i="7"/>
  <c r="C45" i="7"/>
  <c r="L44" i="7"/>
  <c r="C44" i="7"/>
  <c r="L43" i="7"/>
  <c r="C43" i="7"/>
  <c r="K42" i="7"/>
  <c r="H42" i="7"/>
  <c r="L42" i="7" s="1"/>
  <c r="C42" i="7"/>
  <c r="K41" i="7"/>
  <c r="H41" i="7"/>
  <c r="C41" i="7"/>
  <c r="K40" i="7"/>
  <c r="H40" i="7"/>
  <c r="L40" i="7" s="1"/>
  <c r="C40" i="7"/>
  <c r="K39" i="7"/>
  <c r="H39" i="7"/>
  <c r="L39" i="7" s="1"/>
  <c r="C39" i="7"/>
  <c r="K38" i="7"/>
  <c r="H38" i="7"/>
  <c r="L38" i="7" s="1"/>
  <c r="C38" i="7"/>
  <c r="K37" i="7"/>
  <c r="H37" i="7"/>
  <c r="C37" i="7"/>
  <c r="K36" i="7"/>
  <c r="H36" i="7"/>
  <c r="L36" i="7" s="1"/>
  <c r="C36" i="7"/>
  <c r="K35" i="7"/>
  <c r="H35" i="7"/>
  <c r="L35" i="7" s="1"/>
  <c r="C35" i="7"/>
  <c r="K34" i="7"/>
  <c r="H34" i="7"/>
  <c r="L34" i="7" s="1"/>
  <c r="C34" i="7"/>
  <c r="L33" i="7"/>
  <c r="C33" i="7"/>
  <c r="Q32" i="7"/>
  <c r="L32" i="7"/>
  <c r="C32" i="7"/>
  <c r="Q31" i="7"/>
  <c r="L31" i="7"/>
  <c r="C31" i="7"/>
  <c r="Q30" i="7"/>
  <c r="L30" i="7"/>
  <c r="C30" i="7"/>
  <c r="Q29" i="7"/>
  <c r="L29" i="7"/>
  <c r="C29" i="7"/>
  <c r="Q28" i="7"/>
  <c r="L28" i="7"/>
  <c r="C28" i="7"/>
  <c r="Q27" i="7"/>
  <c r="L27" i="7"/>
  <c r="C27" i="7"/>
  <c r="Q26" i="7"/>
  <c r="L26" i="7"/>
  <c r="C26" i="7"/>
  <c r="Q25" i="7"/>
  <c r="L25" i="7"/>
  <c r="C25" i="7"/>
  <c r="Q24" i="7"/>
  <c r="L24" i="7"/>
  <c r="C24" i="7"/>
  <c r="Q23" i="7"/>
  <c r="L23" i="7"/>
  <c r="C23" i="7"/>
  <c r="Q22" i="7"/>
  <c r="L22" i="7"/>
  <c r="C22" i="7"/>
  <c r="Q21" i="7"/>
  <c r="L21" i="7"/>
  <c r="C21" i="7"/>
  <c r="Q20" i="7"/>
  <c r="L20" i="7"/>
  <c r="C20" i="7"/>
  <c r="Q19" i="7"/>
  <c r="L19" i="7"/>
  <c r="C19" i="7"/>
  <c r="Q18" i="7"/>
  <c r="L18" i="7"/>
  <c r="C18" i="7"/>
  <c r="Q17" i="7"/>
  <c r="L17" i="7"/>
  <c r="C17" i="7"/>
  <c r="Q16" i="7"/>
  <c r="L16" i="7"/>
  <c r="C16" i="7"/>
  <c r="Q15" i="7"/>
  <c r="L15" i="7"/>
  <c r="C15" i="7"/>
  <c r="Q14" i="7"/>
  <c r="L14" i="7"/>
  <c r="C14" i="7"/>
  <c r="Q13" i="7"/>
  <c r="L13" i="7"/>
  <c r="C13" i="7"/>
  <c r="Q12" i="7"/>
  <c r="L12" i="7"/>
  <c r="C12" i="7"/>
  <c r="Q11" i="7"/>
  <c r="L11" i="7"/>
  <c r="C11" i="7"/>
  <c r="Q10" i="7"/>
  <c r="L10" i="7"/>
  <c r="C10" i="7"/>
  <c r="Q9" i="7"/>
  <c r="L9" i="7"/>
  <c r="C9" i="7"/>
  <c r="J30" i="11" s="1"/>
  <c r="Q8" i="7"/>
  <c r="L8" i="7"/>
  <c r="C8" i="7"/>
  <c r="Q7" i="7"/>
  <c r="L7" i="7"/>
  <c r="C7" i="7"/>
  <c r="Q6" i="7"/>
  <c r="L6" i="7"/>
  <c r="C6" i="7"/>
  <c r="H54" i="6"/>
  <c r="M50" i="6"/>
  <c r="L50" i="6"/>
  <c r="M48" i="6"/>
  <c r="L48" i="6"/>
  <c r="A45" i="6"/>
  <c r="A44" i="6"/>
  <c r="M43" i="6"/>
  <c r="L43" i="6"/>
  <c r="A43" i="6"/>
  <c r="A42" i="6"/>
  <c r="M41" i="6"/>
  <c r="L41" i="6"/>
  <c r="A41" i="6"/>
  <c r="A40" i="6"/>
  <c r="A39" i="6"/>
  <c r="M38" i="6"/>
  <c r="L38" i="6"/>
  <c r="A38" i="6"/>
  <c r="M37" i="6"/>
  <c r="L37" i="6"/>
  <c r="A37" i="6"/>
  <c r="A36" i="6"/>
  <c r="M35" i="6"/>
  <c r="L35" i="6"/>
  <c r="A35" i="6"/>
  <c r="A34" i="6"/>
  <c r="M33" i="6"/>
  <c r="L33" i="6"/>
  <c r="A33" i="6"/>
  <c r="A32" i="6"/>
  <c r="A31" i="6"/>
  <c r="M30" i="6"/>
  <c r="L30" i="6"/>
  <c r="A30" i="6"/>
  <c r="M29" i="6"/>
  <c r="L29" i="6"/>
  <c r="A29" i="6"/>
  <c r="A28" i="6"/>
  <c r="AC27" i="6"/>
  <c r="A27" i="6"/>
  <c r="AC26" i="6"/>
  <c r="V26" i="6"/>
  <c r="M26" i="6"/>
  <c r="L26" i="6"/>
  <c r="A26" i="6"/>
  <c r="AC25" i="6"/>
  <c r="V25" i="6"/>
  <c r="M25" i="6"/>
  <c r="L25" i="6"/>
  <c r="A25" i="6"/>
  <c r="A24" i="6"/>
  <c r="A23" i="6"/>
  <c r="M22" i="6"/>
  <c r="L22" i="6"/>
  <c r="A22" i="6"/>
  <c r="AC21" i="6"/>
  <c r="V21" i="6"/>
  <c r="A21" i="6"/>
  <c r="AC20" i="6"/>
  <c r="V20" i="6"/>
  <c r="M20" i="6"/>
  <c r="L20" i="6"/>
  <c r="A20" i="6"/>
  <c r="AC19" i="6"/>
  <c r="V19" i="6"/>
  <c r="A19" i="6"/>
  <c r="M18" i="6"/>
  <c r="L18" i="6"/>
  <c r="M17" i="6"/>
  <c r="L17" i="6"/>
  <c r="M16" i="6"/>
  <c r="L16" i="6"/>
  <c r="AC15" i="6"/>
  <c r="V15" i="6"/>
  <c r="M15" i="6"/>
  <c r="L15" i="6"/>
  <c r="AC14" i="6"/>
  <c r="V14" i="6"/>
  <c r="M14" i="6"/>
  <c r="L14" i="6"/>
  <c r="AC13" i="6"/>
  <c r="V13" i="6"/>
  <c r="M13" i="6"/>
  <c r="L13" i="6"/>
  <c r="M12" i="6"/>
  <c r="L12" i="6"/>
  <c r="AC10" i="6"/>
  <c r="V10" i="6"/>
  <c r="A10" i="6"/>
  <c r="AC9" i="6"/>
  <c r="V9" i="6"/>
  <c r="A9" i="6"/>
  <c r="AC8" i="6"/>
  <c r="V8" i="6"/>
  <c r="M8" i="6"/>
  <c r="L8" i="6"/>
  <c r="A8" i="6"/>
  <c r="AC7" i="6"/>
  <c r="V7" i="6"/>
  <c r="A7" i="6"/>
  <c r="A6" i="6"/>
  <c r="B76" i="5"/>
  <c r="B56" i="5" s="1"/>
  <c r="D58" i="5" s="1"/>
  <c r="B75" i="5"/>
  <c r="B74" i="5"/>
  <c r="B25" i="5" s="1"/>
  <c r="D26" i="5" s="1"/>
  <c r="B73" i="5"/>
  <c r="B50" i="5" s="1"/>
  <c r="B72" i="5"/>
  <c r="B71" i="5"/>
  <c r="B70" i="5"/>
  <c r="B38" i="5" s="1"/>
  <c r="D39" i="5" s="1"/>
  <c r="B69" i="5"/>
  <c r="B62" i="5" s="1"/>
  <c r="B65" i="5"/>
  <c r="D63" i="5"/>
  <c r="F59" i="5"/>
  <c r="H50" i="5" s="1"/>
  <c r="B59" i="5"/>
  <c r="B53" i="5"/>
  <c r="D51" i="5"/>
  <c r="F48" i="5"/>
  <c r="H65" i="5" s="1"/>
  <c r="B47" i="5"/>
  <c r="D46" i="5"/>
  <c r="B44" i="5"/>
  <c r="B41" i="5"/>
  <c r="H34" i="5"/>
  <c r="J41" i="5" s="1"/>
  <c r="B34" i="5"/>
  <c r="B31" i="5"/>
  <c r="D34" i="5" s="1"/>
  <c r="F35" i="5" s="1"/>
  <c r="H59" i="5" s="1"/>
  <c r="J62" i="5" s="1"/>
  <c r="B28" i="5"/>
  <c r="F23" i="5"/>
  <c r="B22" i="5"/>
  <c r="D21" i="5"/>
  <c r="B19" i="5"/>
  <c r="H54" i="4"/>
  <c r="J49" i="4"/>
  <c r="A45" i="4"/>
  <c r="H44" i="4"/>
  <c r="A44" i="4"/>
  <c r="A43" i="4"/>
  <c r="A42" i="4"/>
  <c r="J41" i="4"/>
  <c r="A41" i="4"/>
  <c r="A40" i="4"/>
  <c r="A39" i="4"/>
  <c r="A38" i="4"/>
  <c r="A37" i="4"/>
  <c r="H36" i="4"/>
  <c r="A36" i="4"/>
  <c r="A35" i="4"/>
  <c r="A34" i="4"/>
  <c r="M33" i="4"/>
  <c r="L33" i="4"/>
  <c r="A33" i="4"/>
  <c r="A32" i="4"/>
  <c r="J31" i="4"/>
  <c r="A31" i="4"/>
  <c r="A30" i="4"/>
  <c r="M29" i="4"/>
  <c r="L29" i="4"/>
  <c r="A29" i="4"/>
  <c r="M28" i="4"/>
  <c r="L28" i="4"/>
  <c r="A28" i="4"/>
  <c r="M27" i="4"/>
  <c r="L27" i="4"/>
  <c r="A27" i="4"/>
  <c r="M26" i="4"/>
  <c r="L26" i="4"/>
  <c r="H26" i="4"/>
  <c r="A26" i="4"/>
  <c r="M25" i="4"/>
  <c r="L25" i="4"/>
  <c r="J25" i="4"/>
  <c r="A25" i="4"/>
  <c r="M24" i="4"/>
  <c r="L24" i="4"/>
  <c r="A24" i="4"/>
  <c r="M23" i="4"/>
  <c r="L23" i="4"/>
  <c r="A23" i="4"/>
  <c r="M22" i="4"/>
  <c r="L22" i="4"/>
  <c r="A22" i="4"/>
  <c r="M21" i="4"/>
  <c r="L21" i="4"/>
  <c r="S16" i="4" s="1"/>
  <c r="A21" i="4"/>
  <c r="M20" i="4"/>
  <c r="L20" i="4"/>
  <c r="A20" i="4"/>
  <c r="M19" i="4"/>
  <c r="L19" i="4"/>
  <c r="A19" i="4"/>
  <c r="M18" i="4"/>
  <c r="L18" i="4"/>
  <c r="S17" i="4"/>
  <c r="M17" i="4"/>
  <c r="L17" i="4"/>
  <c r="R16" i="4"/>
  <c r="T16" i="4" s="1"/>
  <c r="M16" i="4"/>
  <c r="L16" i="4"/>
  <c r="M15" i="4"/>
  <c r="L15" i="4"/>
  <c r="M14" i="4"/>
  <c r="L14" i="4"/>
  <c r="U13" i="4"/>
  <c r="M13" i="4"/>
  <c r="L13" i="4"/>
  <c r="U12" i="4"/>
  <c r="M12" i="4"/>
  <c r="L12" i="4"/>
  <c r="U11" i="4"/>
  <c r="M11" i="4"/>
  <c r="L11" i="4"/>
  <c r="U10" i="4"/>
  <c r="M10" i="4"/>
  <c r="L10" i="4"/>
  <c r="R17" i="4" s="1"/>
  <c r="A10" i="4"/>
  <c r="U9" i="4"/>
  <c r="M9" i="4"/>
  <c r="L9" i="4"/>
  <c r="A9" i="4"/>
  <c r="U8" i="4"/>
  <c r="M8" i="4"/>
  <c r="R21" i="4" s="1"/>
  <c r="T21" i="4" s="1"/>
  <c r="L8" i="4"/>
  <c r="S21" i="4" s="1"/>
  <c r="H8" i="4"/>
  <c r="A8" i="4"/>
  <c r="U7" i="4"/>
  <c r="M7" i="4"/>
  <c r="L7" i="4"/>
  <c r="A7" i="4"/>
  <c r="U6" i="4"/>
  <c r="M6" i="4"/>
  <c r="S18" i="4" s="1"/>
  <c r="L6" i="4"/>
  <c r="S23" i="4" s="1"/>
  <c r="A6" i="4"/>
  <c r="B32" i="3"/>
  <c r="B29" i="3"/>
  <c r="B25" i="3"/>
  <c r="B22" i="3"/>
  <c r="L102" i="2"/>
  <c r="M102" i="2" s="1"/>
  <c r="C102" i="2"/>
  <c r="L101" i="2"/>
  <c r="C101" i="2"/>
  <c r="L100" i="2"/>
  <c r="M100" i="2" s="1"/>
  <c r="K100" i="2"/>
  <c r="C100" i="2"/>
  <c r="L99" i="2"/>
  <c r="M99" i="2" s="1"/>
  <c r="K99" i="2"/>
  <c r="C99" i="2"/>
  <c r="L98" i="2"/>
  <c r="M98" i="2" s="1"/>
  <c r="K98" i="2"/>
  <c r="C98" i="2"/>
  <c r="L97" i="2"/>
  <c r="M97" i="2" s="1"/>
  <c r="K97" i="2"/>
  <c r="C97" i="2"/>
  <c r="L96" i="2"/>
  <c r="M96" i="2" s="1"/>
  <c r="K96" i="2"/>
  <c r="C96" i="2"/>
  <c r="L95" i="2"/>
  <c r="M95" i="2" s="1"/>
  <c r="K95" i="2"/>
  <c r="C95" i="2"/>
  <c r="L94" i="2"/>
  <c r="M94" i="2" s="1"/>
  <c r="K94" i="2"/>
  <c r="C94" i="2"/>
  <c r="L93" i="2"/>
  <c r="M93" i="2" s="1"/>
  <c r="K93" i="2"/>
  <c r="C93" i="2"/>
  <c r="L92" i="2"/>
  <c r="M92" i="2" s="1"/>
  <c r="K92" i="2"/>
  <c r="C92" i="2"/>
  <c r="L91" i="2"/>
  <c r="M91" i="2" s="1"/>
  <c r="K91" i="2"/>
  <c r="C91" i="2"/>
  <c r="L90" i="2"/>
  <c r="M90" i="2" s="1"/>
  <c r="K90" i="2"/>
  <c r="C90" i="2"/>
  <c r="L89" i="2"/>
  <c r="M89" i="2" s="1"/>
  <c r="K89" i="2"/>
  <c r="C89" i="2"/>
  <c r="L88" i="2"/>
  <c r="M88" i="2" s="1"/>
  <c r="K88" i="2"/>
  <c r="C88" i="2"/>
  <c r="L87" i="2"/>
  <c r="M87" i="2" s="1"/>
  <c r="K87" i="2"/>
  <c r="C87" i="2"/>
  <c r="L86" i="2"/>
  <c r="M86" i="2" s="1"/>
  <c r="K86" i="2"/>
  <c r="C86" i="2"/>
  <c r="L85" i="2"/>
  <c r="M85" i="2" s="1"/>
  <c r="K85" i="2"/>
  <c r="C85" i="2"/>
  <c r="L84" i="2"/>
  <c r="M84" i="2" s="1"/>
  <c r="K84" i="2"/>
  <c r="C84" i="2"/>
  <c r="L83" i="2"/>
  <c r="M83" i="2" s="1"/>
  <c r="K83" i="2"/>
  <c r="C83" i="2"/>
  <c r="L82" i="2"/>
  <c r="M82" i="2" s="1"/>
  <c r="K82" i="2"/>
  <c r="C82" i="2"/>
  <c r="L81" i="2"/>
  <c r="M81" i="2" s="1"/>
  <c r="K81" i="2"/>
  <c r="C81" i="2"/>
  <c r="L80" i="2"/>
  <c r="M80" i="2" s="1"/>
  <c r="K80" i="2"/>
  <c r="C80" i="2"/>
  <c r="L79" i="2"/>
  <c r="M79" i="2" s="1"/>
  <c r="K79" i="2"/>
  <c r="C79" i="2"/>
  <c r="L78" i="2"/>
  <c r="M78" i="2" s="1"/>
  <c r="K78" i="2"/>
  <c r="C78" i="2"/>
  <c r="L77" i="2"/>
  <c r="M77" i="2" s="1"/>
  <c r="K77" i="2"/>
  <c r="C77" i="2"/>
  <c r="L76" i="2"/>
  <c r="M76" i="2" s="1"/>
  <c r="K76" i="2"/>
  <c r="C76" i="2"/>
  <c r="L75" i="2"/>
  <c r="M75" i="2" s="1"/>
  <c r="K75" i="2"/>
  <c r="C75" i="2"/>
  <c r="L74" i="2"/>
  <c r="M74" i="2" s="1"/>
  <c r="K74" i="2"/>
  <c r="C74" i="2"/>
  <c r="L73" i="2"/>
  <c r="M73" i="2" s="1"/>
  <c r="K73" i="2"/>
  <c r="C73" i="2"/>
  <c r="L72" i="2"/>
  <c r="M72" i="2" s="1"/>
  <c r="K72" i="2"/>
  <c r="C72" i="2"/>
  <c r="L71" i="2"/>
  <c r="M71" i="2" s="1"/>
  <c r="K71" i="2"/>
  <c r="C71" i="2"/>
  <c r="L70" i="2"/>
  <c r="M70" i="2" s="1"/>
  <c r="K70" i="2"/>
  <c r="C70" i="2"/>
  <c r="L69" i="2"/>
  <c r="M69" i="2" s="1"/>
  <c r="K69" i="2"/>
  <c r="C69" i="2"/>
  <c r="L68" i="2"/>
  <c r="M68" i="2" s="1"/>
  <c r="K68" i="2"/>
  <c r="C68" i="2"/>
  <c r="L67" i="2"/>
  <c r="M67" i="2" s="1"/>
  <c r="K67" i="2"/>
  <c r="C67" i="2"/>
  <c r="L66" i="2"/>
  <c r="M66" i="2" s="1"/>
  <c r="K66" i="2"/>
  <c r="C66" i="2"/>
  <c r="L65" i="2"/>
  <c r="M65" i="2" s="1"/>
  <c r="K65" i="2"/>
  <c r="C65" i="2"/>
  <c r="L64" i="2"/>
  <c r="M64" i="2" s="1"/>
  <c r="K64" i="2"/>
  <c r="C64" i="2"/>
  <c r="L63" i="2"/>
  <c r="M63" i="2" s="1"/>
  <c r="K63" i="2"/>
  <c r="C63" i="2"/>
  <c r="L62" i="2"/>
  <c r="M62" i="2" s="1"/>
  <c r="K62" i="2"/>
  <c r="C62" i="2"/>
  <c r="L61" i="2"/>
  <c r="M61" i="2" s="1"/>
  <c r="K61" i="2"/>
  <c r="C61" i="2"/>
  <c r="L60" i="2"/>
  <c r="M60" i="2" s="1"/>
  <c r="K60" i="2"/>
  <c r="C60" i="2"/>
  <c r="L59" i="2"/>
  <c r="M59" i="2" s="1"/>
  <c r="K59" i="2"/>
  <c r="C59" i="2"/>
  <c r="L58" i="2"/>
  <c r="M58" i="2" s="1"/>
  <c r="K58" i="2"/>
  <c r="C58" i="2"/>
  <c r="L57" i="2"/>
  <c r="M57" i="2" s="1"/>
  <c r="K57" i="2"/>
  <c r="C57" i="2"/>
  <c r="L56" i="2"/>
  <c r="M56" i="2" s="1"/>
  <c r="K56" i="2"/>
  <c r="C56" i="2"/>
  <c r="L55" i="2"/>
  <c r="M55" i="2" s="1"/>
  <c r="K55" i="2"/>
  <c r="C55" i="2"/>
  <c r="K54" i="2"/>
  <c r="L54" i="2" s="1"/>
  <c r="H54" i="2"/>
  <c r="C54" i="2"/>
  <c r="K53" i="2"/>
  <c r="L53" i="2" s="1"/>
  <c r="H53" i="2"/>
  <c r="C53" i="2"/>
  <c r="K52" i="2"/>
  <c r="L52" i="2" s="1"/>
  <c r="H52" i="2"/>
  <c r="C52" i="2"/>
  <c r="K51" i="2"/>
  <c r="L51" i="2" s="1"/>
  <c r="H51" i="2"/>
  <c r="C51" i="2"/>
  <c r="L50" i="2"/>
  <c r="C50" i="2"/>
  <c r="Q49" i="2"/>
  <c r="L49" i="2"/>
  <c r="C49" i="2"/>
  <c r="Q48" i="2"/>
  <c r="L48" i="2"/>
  <c r="C48" i="2"/>
  <c r="Q47" i="2"/>
  <c r="L47" i="2"/>
  <c r="C47" i="2"/>
  <c r="Q46" i="2"/>
  <c r="L46" i="2"/>
  <c r="C46" i="2"/>
  <c r="Q45" i="2"/>
  <c r="L45" i="2"/>
  <c r="C45" i="2"/>
  <c r="Q44" i="2"/>
  <c r="L44" i="2"/>
  <c r="C44" i="2"/>
  <c r="Q43" i="2"/>
  <c r="L43" i="2"/>
  <c r="C43" i="2"/>
  <c r="Q42" i="2"/>
  <c r="L42" i="2"/>
  <c r="C42" i="2"/>
  <c r="Q41" i="2"/>
  <c r="L41" i="2"/>
  <c r="C41" i="2"/>
  <c r="Q40" i="2"/>
  <c r="L40" i="2"/>
  <c r="C40" i="2"/>
  <c r="Q39" i="2"/>
  <c r="L39" i="2"/>
  <c r="C39" i="2"/>
  <c r="Q38" i="2"/>
  <c r="L38" i="2"/>
  <c r="C38" i="2"/>
  <c r="Q37" i="2"/>
  <c r="L37" i="2"/>
  <c r="C37" i="2"/>
  <c r="Q36" i="2"/>
  <c r="L36" i="2"/>
  <c r="C36" i="2"/>
  <c r="Q35" i="2"/>
  <c r="L35" i="2"/>
  <c r="C35" i="2"/>
  <c r="Q34" i="2"/>
  <c r="L34" i="2"/>
  <c r="C34" i="2"/>
  <c r="Q33" i="2"/>
  <c r="L33" i="2"/>
  <c r="C33" i="2"/>
  <c r="Q32" i="2"/>
  <c r="L32" i="2"/>
  <c r="C32" i="2"/>
  <c r="Q31" i="2"/>
  <c r="L31" i="2"/>
  <c r="C31" i="2"/>
  <c r="Q30" i="2"/>
  <c r="L30" i="2"/>
  <c r="C30" i="2"/>
  <c r="Q29" i="2"/>
  <c r="L29" i="2"/>
  <c r="C29" i="2"/>
  <c r="Q28" i="2"/>
  <c r="L28" i="2"/>
  <c r="C28" i="2"/>
  <c r="Q27" i="2"/>
  <c r="L27" i="2"/>
  <c r="C27" i="2"/>
  <c r="Q26" i="2"/>
  <c r="L26" i="2"/>
  <c r="C26" i="2"/>
  <c r="Q25" i="2"/>
  <c r="L25" i="2"/>
  <c r="C25" i="2"/>
  <c r="Q24" i="2"/>
  <c r="L24" i="2"/>
  <c r="C24" i="2"/>
  <c r="Q23" i="2"/>
  <c r="L23" i="2"/>
  <c r="C23" i="2"/>
  <c r="Q22" i="2"/>
  <c r="L22" i="2"/>
  <c r="C22" i="2"/>
  <c r="Q21" i="2"/>
  <c r="L21" i="2"/>
  <c r="C21" i="2"/>
  <c r="Q20" i="2"/>
  <c r="L20" i="2"/>
  <c r="C20" i="2"/>
  <c r="Q19" i="2"/>
  <c r="L19" i="2"/>
  <c r="C19" i="2"/>
  <c r="Q18" i="2"/>
  <c r="L18" i="2"/>
  <c r="C18" i="2"/>
  <c r="Q17" i="2"/>
  <c r="L17" i="2"/>
  <c r="C17" i="2"/>
  <c r="Q16" i="2"/>
  <c r="L16" i="2"/>
  <c r="C16" i="2"/>
  <c r="Q15" i="2"/>
  <c r="L15" i="2"/>
  <c r="C15" i="2"/>
  <c r="Q14" i="2"/>
  <c r="L14" i="2"/>
  <c r="C14" i="2"/>
  <c r="Q13" i="2"/>
  <c r="L13" i="2"/>
  <c r="C13" i="2"/>
  <c r="Q12" i="2"/>
  <c r="L12" i="2"/>
  <c r="C12" i="2"/>
  <c r="Q11" i="2"/>
  <c r="L11" i="2"/>
  <c r="C11" i="2"/>
  <c r="Q10" i="2"/>
  <c r="L10" i="2"/>
  <c r="C10" i="2"/>
  <c r="Q9" i="2"/>
  <c r="L9" i="2"/>
  <c r="C9" i="2"/>
  <c r="Q8" i="2"/>
  <c r="L8" i="2"/>
  <c r="C8" i="2"/>
  <c r="Q7" i="2"/>
  <c r="L7" i="2"/>
  <c r="C7" i="2"/>
  <c r="Q6" i="2"/>
  <c r="L6" i="2"/>
  <c r="C6" i="2"/>
  <c r="J51" i="4" s="1"/>
  <c r="S19" i="4" l="1"/>
  <c r="R20" i="4"/>
  <c r="H10" i="4"/>
  <c r="H16" i="4"/>
  <c r="J17" i="4"/>
  <c r="H53" i="9"/>
  <c r="H51" i="9"/>
  <c r="H49" i="9"/>
  <c r="H47" i="9"/>
  <c r="H45" i="9"/>
  <c r="H43" i="9"/>
  <c r="H41" i="9"/>
  <c r="H39" i="9"/>
  <c r="H37" i="9"/>
  <c r="H35" i="9"/>
  <c r="H53" i="6"/>
  <c r="H51" i="6"/>
  <c r="H50" i="6"/>
  <c r="H47" i="6"/>
  <c r="H45" i="6"/>
  <c r="H43" i="6"/>
  <c r="H41" i="6"/>
  <c r="H37" i="6"/>
  <c r="J52" i="9"/>
  <c r="J50" i="9"/>
  <c r="J48" i="9"/>
  <c r="J46" i="9"/>
  <c r="J44" i="9"/>
  <c r="J42" i="9"/>
  <c r="J40" i="9"/>
  <c r="J38" i="9"/>
  <c r="J36" i="9"/>
  <c r="J34" i="9"/>
  <c r="J54" i="6"/>
  <c r="J52" i="6"/>
  <c r="J49" i="6"/>
  <c r="J48" i="6"/>
  <c r="J46" i="6"/>
  <c r="J39" i="6"/>
  <c r="J31" i="6"/>
  <c r="H27" i="6"/>
  <c r="H24" i="6"/>
  <c r="H52" i="9"/>
  <c r="H50" i="9"/>
  <c r="H48" i="9"/>
  <c r="H46" i="9"/>
  <c r="H44" i="9"/>
  <c r="H42" i="9"/>
  <c r="H40" i="9"/>
  <c r="H38" i="9"/>
  <c r="H36" i="9"/>
  <c r="H34" i="9"/>
  <c r="H52" i="6"/>
  <c r="H49" i="6"/>
  <c r="H48" i="6"/>
  <c r="H46" i="6"/>
  <c r="J44" i="6"/>
  <c r="J42" i="6"/>
  <c r="J40" i="6"/>
  <c r="H39" i="6"/>
  <c r="J38" i="6"/>
  <c r="J36" i="6"/>
  <c r="J34" i="6"/>
  <c r="J32" i="6"/>
  <c r="H31" i="6"/>
  <c r="J30" i="6"/>
  <c r="H28" i="6"/>
  <c r="J25" i="6"/>
  <c r="J47" i="9"/>
  <c r="J39" i="9"/>
  <c r="J51" i="6"/>
  <c r="H36" i="6"/>
  <c r="J35" i="6"/>
  <c r="H33" i="6"/>
  <c r="H29" i="6"/>
  <c r="H25" i="6"/>
  <c r="H23" i="6"/>
  <c r="H22" i="6"/>
  <c r="H21" i="6"/>
  <c r="H19" i="6"/>
  <c r="H18" i="6"/>
  <c r="H17" i="6"/>
  <c r="H15" i="6"/>
  <c r="H13" i="6"/>
  <c r="J11" i="6"/>
  <c r="H10" i="6"/>
  <c r="H9" i="6"/>
  <c r="H7" i="6"/>
  <c r="H53" i="4"/>
  <c r="H51" i="4"/>
  <c r="H49" i="4"/>
  <c r="H47" i="4"/>
  <c r="H45" i="4"/>
  <c r="J42" i="4"/>
  <c r="H41" i="4"/>
  <c r="J38" i="4"/>
  <c r="H37" i="4"/>
  <c r="J34" i="4"/>
  <c r="J32" i="4"/>
  <c r="H31" i="4"/>
  <c r="H29" i="4"/>
  <c r="J28" i="4"/>
  <c r="H25" i="4"/>
  <c r="J24" i="4"/>
  <c r="J23" i="4"/>
  <c r="J22" i="4"/>
  <c r="J21" i="4"/>
  <c r="J20" i="4"/>
  <c r="J19" i="4"/>
  <c r="J18" i="4"/>
  <c r="H17" i="4"/>
  <c r="H13" i="4"/>
  <c r="J12" i="4"/>
  <c r="J9" i="4"/>
  <c r="J7" i="4"/>
  <c r="J41" i="9"/>
  <c r="J53" i="6"/>
  <c r="H42" i="6"/>
  <c r="J33" i="6"/>
  <c r="H30" i="6"/>
  <c r="H20" i="6"/>
  <c r="H16" i="6"/>
  <c r="H12" i="6"/>
  <c r="H8" i="6"/>
  <c r="J53" i="9"/>
  <c r="J45" i="9"/>
  <c r="J37" i="9"/>
  <c r="H44" i="6"/>
  <c r="J43" i="6"/>
  <c r="H40" i="6"/>
  <c r="H35" i="6"/>
  <c r="J26" i="6"/>
  <c r="J14" i="6"/>
  <c r="H11" i="6"/>
  <c r="J52" i="4"/>
  <c r="J50" i="4"/>
  <c r="J48" i="4"/>
  <c r="J46" i="4"/>
  <c r="J43" i="4"/>
  <c r="H42" i="4"/>
  <c r="J39" i="4"/>
  <c r="H38" i="4"/>
  <c r="J35" i="4"/>
  <c r="H34" i="4"/>
  <c r="J33" i="4"/>
  <c r="H32" i="4"/>
  <c r="H28" i="4"/>
  <c r="J27" i="4"/>
  <c r="H24" i="4"/>
  <c r="H23" i="4"/>
  <c r="H22" i="4"/>
  <c r="H21" i="4"/>
  <c r="H20" i="4"/>
  <c r="H19" i="4"/>
  <c r="H18" i="4"/>
  <c r="H12" i="4"/>
  <c r="J11" i="4"/>
  <c r="H9" i="4"/>
  <c r="H7" i="4"/>
  <c r="J49" i="9"/>
  <c r="J50" i="6"/>
  <c r="J45" i="6"/>
  <c r="J41" i="6"/>
  <c r="H34" i="6"/>
  <c r="J29" i="6"/>
  <c r="J23" i="6"/>
  <c r="J19" i="6"/>
  <c r="J17" i="6"/>
  <c r="J13" i="6"/>
  <c r="J7" i="6"/>
  <c r="J51" i="9"/>
  <c r="J43" i="9"/>
  <c r="J35" i="9"/>
  <c r="J47" i="6"/>
  <c r="H38" i="6"/>
  <c r="J37" i="6"/>
  <c r="H32" i="6"/>
  <c r="H26" i="6"/>
  <c r="J20" i="6"/>
  <c r="H14" i="6"/>
  <c r="J8" i="6"/>
  <c r="H6" i="6"/>
  <c r="H52" i="4"/>
  <c r="H50" i="4"/>
  <c r="H48" i="4"/>
  <c r="H46" i="4"/>
  <c r="J44" i="4"/>
  <c r="H43" i="4"/>
  <c r="J40" i="4"/>
  <c r="H39" i="4"/>
  <c r="J36" i="4"/>
  <c r="H35" i="4"/>
  <c r="H33" i="4"/>
  <c r="J30" i="4"/>
  <c r="H27" i="4"/>
  <c r="J26" i="4"/>
  <c r="J16" i="4"/>
  <c r="J15" i="4"/>
  <c r="J14" i="4"/>
  <c r="H11" i="4"/>
  <c r="J10" i="4"/>
  <c r="J8" i="4"/>
  <c r="J6" i="4"/>
  <c r="S20" i="4"/>
  <c r="T17" i="4"/>
  <c r="H15" i="4"/>
  <c r="J29" i="4"/>
  <c r="H30" i="4"/>
  <c r="J37" i="4"/>
  <c r="H40" i="4"/>
  <c r="J45" i="4"/>
  <c r="J53" i="4"/>
  <c r="S22" i="4"/>
  <c r="R19" i="4"/>
  <c r="T19" i="4" s="1"/>
  <c r="T18" i="9"/>
  <c r="H6" i="4"/>
  <c r="J13" i="4"/>
  <c r="H14" i="4"/>
  <c r="J47" i="4"/>
  <c r="R20" i="9"/>
  <c r="S19" i="9"/>
  <c r="H39" i="11"/>
  <c r="S20" i="9"/>
  <c r="R15" i="9"/>
  <c r="R18" i="4"/>
  <c r="T18" i="4" s="1"/>
  <c r="R22" i="4"/>
  <c r="T22" i="4" s="1"/>
  <c r="R23" i="4"/>
  <c r="T23" i="4" s="1"/>
  <c r="J41" i="11"/>
  <c r="S18" i="9"/>
  <c r="R21" i="9"/>
  <c r="T21" i="9" s="1"/>
  <c r="J30" i="9"/>
  <c r="J25" i="11"/>
  <c r="H26" i="11"/>
  <c r="J33" i="11"/>
  <c r="T19" i="9"/>
  <c r="L37" i="7"/>
  <c r="L41" i="7"/>
  <c r="R17" i="9"/>
  <c r="T17" i="9" s="1"/>
  <c r="J29" i="9"/>
  <c r="H7" i="11"/>
  <c r="R8" i="11" s="1"/>
  <c r="E20" i="10" s="1"/>
  <c r="H15" i="11"/>
  <c r="H18" i="11"/>
  <c r="J21" i="11"/>
  <c r="H22" i="11"/>
  <c r="H6" i="9"/>
  <c r="H7" i="9"/>
  <c r="J10" i="9"/>
  <c r="H11" i="9"/>
  <c r="J16" i="9"/>
  <c r="S16" i="9"/>
  <c r="T16" i="9" s="1"/>
  <c r="H19" i="9"/>
  <c r="J20" i="9"/>
  <c r="H21" i="9"/>
  <c r="J22" i="9"/>
  <c r="S22" i="9"/>
  <c r="T22" i="9" s="1"/>
  <c r="H24" i="9"/>
  <c r="H25" i="9"/>
  <c r="H26" i="9"/>
  <c r="H27" i="9"/>
  <c r="H31" i="9"/>
  <c r="H32" i="9"/>
  <c r="H33" i="9"/>
  <c r="H6" i="11"/>
  <c r="J7" i="11"/>
  <c r="R13" i="11" s="1"/>
  <c r="H9" i="11"/>
  <c r="H12" i="11"/>
  <c r="H13" i="11"/>
  <c r="J14" i="11"/>
  <c r="J15" i="11"/>
  <c r="J17" i="11"/>
  <c r="J18" i="11"/>
  <c r="J20" i="11"/>
  <c r="J22" i="11"/>
  <c r="H23" i="11"/>
  <c r="J24" i="11"/>
  <c r="J26" i="11"/>
  <c r="H29" i="11"/>
  <c r="H31" i="11"/>
  <c r="H32" i="11"/>
  <c r="H35" i="11"/>
  <c r="H36" i="11"/>
  <c r="J37" i="11"/>
  <c r="J39" i="11"/>
  <c r="J6" i="9"/>
  <c r="J7" i="9"/>
  <c r="H8" i="9"/>
  <c r="J11" i="9"/>
  <c r="H12" i="9"/>
  <c r="S15" i="9"/>
  <c r="H18" i="9"/>
  <c r="J19" i="9"/>
  <c r="J21" i="9"/>
  <c r="J24" i="9"/>
  <c r="J25" i="9"/>
  <c r="J26" i="9"/>
  <c r="J27" i="9"/>
  <c r="J31" i="9"/>
  <c r="J32" i="9"/>
  <c r="J33" i="9"/>
  <c r="J6" i="11"/>
  <c r="J9" i="11"/>
  <c r="H10" i="11"/>
  <c r="H11" i="11"/>
  <c r="J12" i="11"/>
  <c r="J13" i="11"/>
  <c r="H16" i="11"/>
  <c r="J23" i="11"/>
  <c r="H28" i="11"/>
  <c r="J29" i="11"/>
  <c r="J31" i="11"/>
  <c r="J32" i="11"/>
  <c r="H34" i="11"/>
  <c r="J35" i="11"/>
  <c r="J36" i="11"/>
  <c r="H38" i="11"/>
  <c r="H40" i="11"/>
  <c r="H41" i="11"/>
  <c r="J8" i="9"/>
  <c r="H9" i="9"/>
  <c r="J12" i="9"/>
  <c r="H13" i="9"/>
  <c r="H14" i="9"/>
  <c r="H15" i="9"/>
  <c r="H17" i="9"/>
  <c r="J18" i="9"/>
  <c r="H23" i="9"/>
  <c r="H28" i="9"/>
  <c r="H29" i="9"/>
  <c r="H30" i="9"/>
  <c r="H8" i="11"/>
  <c r="R11" i="11" s="1"/>
  <c r="C68" i="10" s="1"/>
  <c r="C59" i="10" s="1"/>
  <c r="F60" i="10" s="1"/>
  <c r="H57" i="10" s="1"/>
  <c r="K62" i="10" s="1"/>
  <c r="N59" i="10" s="1"/>
  <c r="J10" i="11"/>
  <c r="J11" i="11"/>
  <c r="J16" i="11"/>
  <c r="H19" i="11"/>
  <c r="H21" i="11"/>
  <c r="H25" i="11"/>
  <c r="H27" i="11"/>
  <c r="J28" i="11"/>
  <c r="H30" i="11"/>
  <c r="H33" i="11"/>
  <c r="J34" i="11"/>
  <c r="J38" i="11"/>
  <c r="J40" i="11"/>
  <c r="T20" i="4" l="1"/>
  <c r="T15" i="9"/>
  <c r="T20" i="9"/>
</calcChain>
</file>

<file path=xl/sharedStrings.xml><?xml version="1.0" encoding="utf-8"?>
<sst xmlns="http://schemas.openxmlformats.org/spreadsheetml/2006/main" count="3395" uniqueCount="1002">
  <si>
    <t xml:space="preserve"> </t>
  </si>
  <si>
    <t>香港沙灘排球巡迴賽 2019 黃金(一) 站</t>
  </si>
  <si>
    <t>比賽須知</t>
  </si>
  <si>
    <t>報　　到</t>
  </si>
  <si>
    <t>所有參賽隊伍須於規定時間前15分鐘，向司令台報到.</t>
  </si>
  <si>
    <t>如發現冒名頂替者，則其球隊之比賽資格及所得成績分將被取消。</t>
  </si>
  <si>
    <t>比賽制服</t>
  </si>
  <si>
    <t>比賽隊伍必須穿著比賽制服</t>
  </si>
  <si>
    <t>比賽規則</t>
  </si>
  <si>
    <t>採用國際排球協會最新之沙灘排球現規則，網高及球場面積如下：</t>
  </si>
  <si>
    <t>男子甲組網高2.43米，男子乙組網高2.35米，女子甲組網高2.24米，女子乙組網高2.20米</t>
  </si>
  <si>
    <t xml:space="preserve">球場：16米x 8米；半場8米x 8米 </t>
  </si>
  <si>
    <t>小組賽兩局制，每球得分制，需至少領前兩分為勝1局，並無上限分.每勝一場得3分，每負一場得0分，平手各得1分。</t>
  </si>
  <si>
    <t>複賽三局兩勝制，每球得分制，需至少領前兩分為勝1局，並無上限分.</t>
  </si>
  <si>
    <t>一,二局每累積7分,決勝局每累積5分交換場地作賽</t>
  </si>
  <si>
    <t>每隊每局一次暫停,限時30秒,只有隊長方可要求暫停</t>
  </si>
  <si>
    <t>技術暫停：只設於一,二局,兩隊得分總和21分時自動執行,限時30秒.</t>
  </si>
  <si>
    <t>球員不可用上手手指﹝虛攻﹞完成攻擊性擊球</t>
  </si>
  <si>
    <t>凡 NO SHOW 將不獲積分</t>
  </si>
  <si>
    <t>Competition Information</t>
  </si>
  <si>
    <t xml:space="preserve">Report </t>
  </si>
  <si>
    <t>Teams should report to the competition organizer 15 minutes before the competition.</t>
  </si>
  <si>
    <t>All results will be deleted if unlawful player has been found.</t>
  </si>
  <si>
    <t>Uniform</t>
  </si>
  <si>
    <t>Players in a team should wear identical uniform with visible number 1 &amp; 2 on front and back side of players’uniform</t>
  </si>
  <si>
    <t>Rules</t>
  </si>
  <si>
    <t xml:space="preserve">Beach volleyball official rules from FIVB will be adopted throughout the game. </t>
  </si>
  <si>
    <t>Dimensions of playing area and height of the net are as follow:</t>
  </si>
  <si>
    <t>Playing area: 16m x 8m</t>
  </si>
  <si>
    <t>A Grade Men's net: 2.43m ;B Grade Men's net: 2.35m ;A Grade Women's net: 2.24m;B Grade Women's net: 2.20m</t>
  </si>
  <si>
    <t xml:space="preserve">A match would be won by team that wins two sets with each of them having a minimum lead of 2 points. </t>
  </si>
  <si>
    <t>In the case of 1-1 ties, the deciding set (the 3rd) is played to 15 points with a minimum lead of 2 points.</t>
  </si>
  <si>
    <t>Court switch would be taken place after every 7 points (Set 1 and 2)  and 5 points (Set 3) played</t>
  </si>
  <si>
    <t xml:space="preserve">Each team is entitled to a maximum of one time-out per set. Each time-out lasts for 30 seconds and could be called by either of the players </t>
  </si>
  <si>
    <t>Technical Time-out: in sets 1 and 2, one additional 30 second Technical Time-out</t>
  </si>
  <si>
    <t xml:space="preserve">is automatically allocated when the sum of the points scored by the teams equals 21 points.  </t>
  </si>
  <si>
    <t>A player completes an attack-hit using an “open-handed tip or dink” directing the ball</t>
  </si>
  <si>
    <t>with the fingers would be considered as a attack-hit fault</t>
  </si>
  <si>
    <t>Knock out system &amp; best of 3 system will be adopted in the final round and QT</t>
  </si>
  <si>
    <t xml:space="preserve">For Preliminary Round, all the games are in 2 sets </t>
  </si>
  <si>
    <t>No points will be given for those "no show"</t>
  </si>
  <si>
    <t xml:space="preserve">Men Division I's net: 2.43m ;Men Division II's net: 2.35m ; Women Division I's net: 2.24m;Women Division II's net: 2.20m </t>
  </si>
  <si>
    <t>In pool games,two sets in each game,win a game will get 3 points,draw a game will get 1 point.</t>
  </si>
  <si>
    <t>In the round of 16, in case of 1-1 ties, the deciding set (the 3rd) is played to 15 points with a minimum lead of 2 points.</t>
  </si>
  <si>
    <t>Each team is entitled to a maximum of one time-out per set. Each time-out lasts for 30 seconds and could be called by captain</t>
  </si>
  <si>
    <t>第一階段：小組單循環比賽</t>
  </si>
  <si>
    <t>Seeding List (table 2)</t>
  </si>
  <si>
    <r>
      <rPr>
        <b/>
        <sz val="16"/>
        <color rgb="FF0000FF"/>
        <rFont val="微軟正黑體"/>
        <family val="2"/>
        <charset val="136"/>
      </rPr>
      <t>種子隊名單</t>
    </r>
    <r>
      <rPr>
        <b/>
        <sz val="16"/>
        <color rgb="FF0000FF"/>
        <rFont val="Calibri"/>
        <family val="2"/>
        <charset val="1"/>
      </rPr>
      <t>(</t>
    </r>
    <r>
      <rPr>
        <b/>
        <sz val="16"/>
        <color rgb="FF0000FF"/>
        <rFont val="微軟正黑體"/>
        <family val="2"/>
        <charset val="136"/>
      </rPr>
      <t>表二</t>
    </r>
    <r>
      <rPr>
        <b/>
        <sz val="16"/>
        <color rgb="FF0000FF"/>
        <rFont val="Calibri"/>
        <family val="2"/>
        <charset val="1"/>
      </rPr>
      <t>)</t>
    </r>
  </si>
  <si>
    <t>種子編號</t>
  </si>
  <si>
    <t xml:space="preserve">Read </t>
  </si>
  <si>
    <t>Team</t>
  </si>
  <si>
    <t>Team Name</t>
  </si>
  <si>
    <t>Ind.</t>
  </si>
  <si>
    <t>積分</t>
  </si>
  <si>
    <t>DRAW RESULT</t>
  </si>
  <si>
    <t>SEED NO.</t>
  </si>
  <si>
    <t>抽籤結果</t>
  </si>
  <si>
    <t>Seeding</t>
  </si>
  <si>
    <t>隊名</t>
  </si>
  <si>
    <r>
      <rPr>
        <b/>
        <sz val="14"/>
        <rFont val="微軟正黑體"/>
        <family val="2"/>
        <charset val="136"/>
      </rPr>
      <t>球員</t>
    </r>
    <r>
      <rPr>
        <b/>
        <sz val="14"/>
        <rFont val="Calibri"/>
        <family val="2"/>
        <charset val="1"/>
      </rPr>
      <t>1</t>
    </r>
  </si>
  <si>
    <t>註冊編號</t>
  </si>
  <si>
    <t>Points</t>
  </si>
  <si>
    <r>
      <rPr>
        <b/>
        <sz val="14"/>
        <rFont val="微軟正黑體"/>
        <family val="2"/>
        <charset val="136"/>
      </rPr>
      <t>球員</t>
    </r>
    <r>
      <rPr>
        <b/>
        <sz val="14"/>
        <rFont val="Calibri"/>
        <family val="2"/>
        <charset val="1"/>
      </rPr>
      <t>2</t>
    </r>
  </si>
  <si>
    <t>備註</t>
  </si>
  <si>
    <t>賽事積分</t>
  </si>
  <si>
    <t>球員積分</t>
  </si>
  <si>
    <t>SCAA LM</t>
  </si>
  <si>
    <t>徐錦龍</t>
  </si>
  <si>
    <t>M323</t>
  </si>
  <si>
    <t>楊博文</t>
  </si>
  <si>
    <t>M337</t>
  </si>
  <si>
    <t>AA1</t>
  </si>
  <si>
    <t>2R</t>
  </si>
  <si>
    <t>黃俊偉</t>
  </si>
  <si>
    <t>M112</t>
  </si>
  <si>
    <t>黃冠邦</t>
  </si>
  <si>
    <t>M202</t>
  </si>
  <si>
    <t>AA2</t>
  </si>
  <si>
    <t xml:space="preserve">ALPS - WL </t>
  </si>
  <si>
    <t>林惠龍</t>
  </si>
  <si>
    <t>M744</t>
  </si>
  <si>
    <t>王沛林</t>
  </si>
  <si>
    <t>M227</t>
  </si>
  <si>
    <t>AA3</t>
  </si>
  <si>
    <t xml:space="preserve">ALPS YK </t>
  </si>
  <si>
    <t>饒明淦</t>
  </si>
  <si>
    <t>M751</t>
  </si>
  <si>
    <t>古顯庭</t>
  </si>
  <si>
    <t>M331</t>
  </si>
  <si>
    <t>AA4</t>
  </si>
  <si>
    <t xml:space="preserve">ALPS - T&amp;W </t>
  </si>
  <si>
    <t>謝鍵泓</t>
  </si>
  <si>
    <t>M762</t>
  </si>
  <si>
    <t>黃嘉潤</t>
  </si>
  <si>
    <t>M556</t>
  </si>
  <si>
    <t>AA5</t>
  </si>
  <si>
    <t>Alps-Dr. Chan</t>
  </si>
  <si>
    <t>陳鉅威</t>
  </si>
  <si>
    <t>M880</t>
  </si>
  <si>
    <t>陳樂恆</t>
  </si>
  <si>
    <t>M670</t>
  </si>
  <si>
    <t>AA6</t>
  </si>
  <si>
    <t>SA</t>
  </si>
  <si>
    <t>Thorsten Flaquiere</t>
  </si>
  <si>
    <t>M870</t>
  </si>
  <si>
    <t>Walter Mosca</t>
  </si>
  <si>
    <t>M816</t>
  </si>
  <si>
    <t>AA7</t>
  </si>
  <si>
    <t xml:space="preserve">Alps CAUTION </t>
  </si>
  <si>
    <t>文駿軒</t>
  </si>
  <si>
    <t>M845</t>
  </si>
  <si>
    <t>陳嘉浩</t>
  </si>
  <si>
    <t>M750</t>
  </si>
  <si>
    <t>AA8</t>
  </si>
  <si>
    <t>Alps LC</t>
  </si>
  <si>
    <t>張綽航</t>
  </si>
  <si>
    <t>M639</t>
  </si>
  <si>
    <t>李俊傑</t>
  </si>
  <si>
    <t>M676</t>
  </si>
  <si>
    <t>A1</t>
  </si>
  <si>
    <t>米奇與超大隻傑</t>
  </si>
  <si>
    <t>劉卓然</t>
  </si>
  <si>
    <t>M934</t>
  </si>
  <si>
    <t>陳煒傑</t>
  </si>
  <si>
    <t>M936</t>
  </si>
  <si>
    <t>B1</t>
  </si>
  <si>
    <t>ALPS - handshake</t>
  </si>
  <si>
    <t>簡詩恆</t>
  </si>
  <si>
    <t>M891</t>
  </si>
  <si>
    <t>黃震</t>
  </si>
  <si>
    <t>M907</t>
  </si>
  <si>
    <t>C1</t>
  </si>
  <si>
    <t>Pak &amp; Ivan</t>
  </si>
  <si>
    <t>雲維華</t>
  </si>
  <si>
    <t>M798</t>
  </si>
  <si>
    <t>林柏均</t>
  </si>
  <si>
    <t>M179</t>
  </si>
  <si>
    <t>D1</t>
  </si>
  <si>
    <t>SKTL</t>
  </si>
  <si>
    <t>余天樂</t>
  </si>
  <si>
    <t>M342</t>
  </si>
  <si>
    <t>廖樞麒</t>
  </si>
  <si>
    <t>M552</t>
  </si>
  <si>
    <t>E1</t>
  </si>
  <si>
    <t>SCAA YA</t>
  </si>
  <si>
    <t>張海鷹</t>
  </si>
  <si>
    <t>M103</t>
  </si>
  <si>
    <t>丘至剛</t>
  </si>
  <si>
    <t>M550</t>
  </si>
  <si>
    <t>F1</t>
  </si>
  <si>
    <t>Zlatan</t>
  </si>
  <si>
    <t>黃駿安</t>
  </si>
  <si>
    <t>M291</t>
  </si>
  <si>
    <t>梁譽騰</t>
  </si>
  <si>
    <t>M935</t>
  </si>
  <si>
    <t>G1</t>
  </si>
  <si>
    <r>
      <rPr>
        <sz val="14"/>
        <rFont val="Calibri"/>
        <family val="2"/>
        <charset val="1"/>
      </rPr>
      <t>ALPS_</t>
    </r>
    <r>
      <rPr>
        <sz val="14"/>
        <rFont val="Microsoft YaHei"/>
        <family val="2"/>
        <charset val="136"/>
      </rPr>
      <t>我要買</t>
    </r>
    <r>
      <rPr>
        <sz val="14"/>
        <rFont val="Calibri"/>
        <family val="2"/>
        <charset val="1"/>
      </rPr>
      <t>GTR</t>
    </r>
  </si>
  <si>
    <t>葉志誠</t>
  </si>
  <si>
    <t>M802</t>
  </si>
  <si>
    <t>李宇煌</t>
  </si>
  <si>
    <t>M330</t>
  </si>
  <si>
    <t>H1</t>
  </si>
  <si>
    <t>FS</t>
  </si>
  <si>
    <t>張志坤</t>
  </si>
  <si>
    <t>M332</t>
  </si>
  <si>
    <t>黃英彰</t>
  </si>
  <si>
    <t>M931</t>
  </si>
  <si>
    <t>H2</t>
  </si>
  <si>
    <t>紅藍</t>
  </si>
  <si>
    <t>鄭晉宏</t>
  </si>
  <si>
    <t>M629</t>
  </si>
  <si>
    <t>陳品全</t>
  </si>
  <si>
    <t>M630</t>
  </si>
  <si>
    <t>G2</t>
  </si>
  <si>
    <t>撈碧鵰</t>
  </si>
  <si>
    <t>陳暐晴</t>
  </si>
  <si>
    <t>M642</t>
  </si>
  <si>
    <t>黃志傑</t>
  </si>
  <si>
    <t>M704</t>
  </si>
  <si>
    <t>F2</t>
  </si>
  <si>
    <t>夢幻組合</t>
  </si>
  <si>
    <t>鍾皓聰</t>
  </si>
  <si>
    <t>M908</t>
  </si>
  <si>
    <t>曾毅斌</t>
  </si>
  <si>
    <t>M910</t>
  </si>
  <si>
    <t>E2</t>
  </si>
  <si>
    <t>我叫你</t>
  </si>
  <si>
    <t>譚洭倫</t>
  </si>
  <si>
    <t>M514</t>
  </si>
  <si>
    <t>蘇俊傑</t>
  </si>
  <si>
    <t>M895</t>
  </si>
  <si>
    <t>D2</t>
  </si>
  <si>
    <t>熱情的麻鷹</t>
  </si>
  <si>
    <t>李健禧</t>
  </si>
  <si>
    <t>M843</t>
  </si>
  <si>
    <t>張永暉</t>
  </si>
  <si>
    <t>M887</t>
  </si>
  <si>
    <t>C2</t>
  </si>
  <si>
    <t>SCAA K&amp;L</t>
  </si>
  <si>
    <t>甘力軒</t>
  </si>
  <si>
    <t>M373</t>
  </si>
  <si>
    <t>柳凱富</t>
  </si>
  <si>
    <t>M806</t>
  </si>
  <si>
    <t>B2</t>
  </si>
  <si>
    <t>YAMM</t>
  </si>
  <si>
    <t>莊紀來</t>
  </si>
  <si>
    <t>M229</t>
  </si>
  <si>
    <t>鄧浩文</t>
  </si>
  <si>
    <t>M650</t>
  </si>
  <si>
    <t>A2</t>
  </si>
  <si>
    <t>Alps-ZJ</t>
  </si>
  <si>
    <t>李梓恆</t>
  </si>
  <si>
    <t>M568</t>
  </si>
  <si>
    <t>勞永鏗</t>
  </si>
  <si>
    <t>M667</t>
  </si>
  <si>
    <t>A3</t>
  </si>
  <si>
    <t>WM</t>
  </si>
  <si>
    <t>麥浩暘</t>
  </si>
  <si>
    <t>M665</t>
  </si>
  <si>
    <t>王澄晞</t>
  </si>
  <si>
    <t>M663</t>
  </si>
  <si>
    <t>B3</t>
  </si>
  <si>
    <t>Ben &amp; Enoch</t>
  </si>
  <si>
    <t>關梓烽</t>
  </si>
  <si>
    <t>M890</t>
  </si>
  <si>
    <t>莊浩鑫</t>
  </si>
  <si>
    <t>M879</t>
  </si>
  <si>
    <t>C3</t>
  </si>
  <si>
    <t>微胖大叔</t>
  </si>
  <si>
    <t>程文達</t>
  </si>
  <si>
    <t>M224</t>
  </si>
  <si>
    <t>黃仲德</t>
  </si>
  <si>
    <t>M158</t>
  </si>
  <si>
    <t>D3</t>
  </si>
  <si>
    <t>爸爸隊</t>
  </si>
  <si>
    <t>莫海健</t>
  </si>
  <si>
    <t>M685</t>
  </si>
  <si>
    <t>胡俊冬</t>
  </si>
  <si>
    <t>M430</t>
  </si>
  <si>
    <t>E3</t>
  </si>
  <si>
    <t>蔡偉傑</t>
  </si>
  <si>
    <t>M205</t>
  </si>
  <si>
    <t>張富鍵</t>
  </si>
  <si>
    <t>M228</t>
  </si>
  <si>
    <t>F3</t>
  </si>
  <si>
    <t>企拍</t>
  </si>
  <si>
    <t>黃栢軒</t>
  </si>
  <si>
    <t>M621</t>
  </si>
  <si>
    <t>李勤昌</t>
  </si>
  <si>
    <t>M682</t>
  </si>
  <si>
    <t>G3</t>
  </si>
  <si>
    <t>LSC</t>
  </si>
  <si>
    <t>曾子恆</t>
  </si>
  <si>
    <t>M932</t>
  </si>
  <si>
    <t>李泯其</t>
  </si>
  <si>
    <t>NEW</t>
  </si>
  <si>
    <t>H3</t>
  </si>
  <si>
    <r>
      <rPr>
        <sz val="14"/>
        <rFont val="Calibri"/>
        <family val="2"/>
        <charset val="1"/>
      </rPr>
      <t xml:space="preserve">ALPS - </t>
    </r>
    <r>
      <rPr>
        <sz val="14"/>
        <rFont val="Microsoft YaHei"/>
        <family val="2"/>
        <charset val="136"/>
      </rPr>
      <t>平均米九</t>
    </r>
  </si>
  <si>
    <t>蔡國培</t>
  </si>
  <si>
    <t>M626</t>
  </si>
  <si>
    <t>林琪豐</t>
  </si>
  <si>
    <t>M624</t>
  </si>
  <si>
    <t>H4</t>
  </si>
  <si>
    <t>H4, G4, F4, E4, QT1, QT2, QT3, QT4</t>
  </si>
  <si>
    <t>SCAA 99</t>
  </si>
  <si>
    <t>陸俊勤</t>
  </si>
  <si>
    <t>M766</t>
  </si>
  <si>
    <t>林灝銘</t>
  </si>
  <si>
    <t>M781</t>
  </si>
  <si>
    <t>F4</t>
  </si>
  <si>
    <t>任你隊</t>
  </si>
  <si>
    <t>劉偉文</t>
  </si>
  <si>
    <t>馮力揚</t>
  </si>
  <si>
    <t>QT4</t>
  </si>
  <si>
    <t>冧唔冧</t>
  </si>
  <si>
    <t>邱詩皓</t>
  </si>
  <si>
    <t>李浩林</t>
  </si>
  <si>
    <t>QT1</t>
  </si>
  <si>
    <t>Samuel&amp;Marcus</t>
  </si>
  <si>
    <t>李晉瑋</t>
  </si>
  <si>
    <t>林子聰</t>
  </si>
  <si>
    <t>QT2</t>
  </si>
  <si>
    <t>SCAA x CSUN</t>
  </si>
  <si>
    <t>陳淦彥</t>
  </si>
  <si>
    <t>曾松欽</t>
  </si>
  <si>
    <t>M789</t>
  </si>
  <si>
    <t>G4</t>
  </si>
  <si>
    <t>呂郭碧鳯</t>
  </si>
  <si>
    <t>周志昕</t>
  </si>
  <si>
    <t>黃悅峰</t>
  </si>
  <si>
    <t>HELLO</t>
  </si>
  <si>
    <t>李智恒</t>
  </si>
  <si>
    <t>M157</t>
  </si>
  <si>
    <t>梁焯垣</t>
  </si>
  <si>
    <t>M579</t>
  </si>
  <si>
    <r>
      <rPr>
        <sz val="14"/>
        <rFont val="Calibri"/>
        <family val="2"/>
        <charset val="1"/>
      </rPr>
      <t xml:space="preserve">SCAA </t>
    </r>
    <r>
      <rPr>
        <sz val="14"/>
        <rFont val="Microsoft YaHei"/>
        <family val="2"/>
        <charset val="136"/>
      </rPr>
      <t>嘉昇涷肉</t>
    </r>
  </si>
  <si>
    <t>陳嘉偉</t>
  </si>
  <si>
    <t>M311</t>
  </si>
  <si>
    <t>蔡文昇</t>
  </si>
  <si>
    <t>M510</t>
  </si>
  <si>
    <t>QT3</t>
  </si>
  <si>
    <t xml:space="preserve">Alison volleyball </t>
  </si>
  <si>
    <t>楊子鍵</t>
  </si>
  <si>
    <t>林融</t>
  </si>
  <si>
    <t>E4</t>
  </si>
  <si>
    <t>vvE</t>
  </si>
  <si>
    <t>薛俊逸</t>
  </si>
  <si>
    <t>M321</t>
  </si>
  <si>
    <t>何建邦</t>
  </si>
  <si>
    <t>HiHi</t>
  </si>
  <si>
    <t>盧淂浚</t>
  </si>
  <si>
    <t>林逸朗</t>
  </si>
  <si>
    <t>M839</t>
  </si>
  <si>
    <t>M840</t>
  </si>
  <si>
    <t>M841</t>
  </si>
  <si>
    <t>M842</t>
  </si>
  <si>
    <t>M844</t>
  </si>
  <si>
    <t>M846</t>
  </si>
  <si>
    <t>M847</t>
  </si>
  <si>
    <t>M848</t>
  </si>
  <si>
    <t>M849</t>
  </si>
  <si>
    <t>M850</t>
  </si>
  <si>
    <t>BYE</t>
  </si>
  <si>
    <t>A4</t>
  </si>
  <si>
    <t>M851</t>
  </si>
  <si>
    <t>B4</t>
  </si>
  <si>
    <t>C4</t>
  </si>
  <si>
    <t>M852</t>
  </si>
  <si>
    <t>D4</t>
  </si>
  <si>
    <t>M853</t>
  </si>
  <si>
    <t>M854</t>
  </si>
  <si>
    <t>M855</t>
  </si>
  <si>
    <t>M856</t>
  </si>
  <si>
    <t>AB1</t>
  </si>
  <si>
    <t>AB2</t>
  </si>
  <si>
    <t>M857</t>
  </si>
  <si>
    <t>AB3</t>
  </si>
  <si>
    <t>AB4</t>
  </si>
  <si>
    <t>M858</t>
  </si>
  <si>
    <t>P3</t>
  </si>
  <si>
    <t>M859</t>
  </si>
  <si>
    <t>O3</t>
  </si>
  <si>
    <t>N3</t>
  </si>
  <si>
    <t>M860</t>
  </si>
  <si>
    <t>M3</t>
  </si>
  <si>
    <t>L3</t>
  </si>
  <si>
    <t>M861</t>
  </si>
  <si>
    <t>K3</t>
  </si>
  <si>
    <t>J3</t>
  </si>
  <si>
    <t>I3</t>
  </si>
  <si>
    <t>M862</t>
  </si>
  <si>
    <t>vs</t>
  </si>
  <si>
    <t>2:15, 9:15</t>
  </si>
  <si>
    <t>HELLO NO SHOW</t>
  </si>
  <si>
    <r>
      <rPr>
        <sz val="14"/>
        <rFont val="Calibri"/>
        <family val="2"/>
        <charset val="1"/>
      </rPr>
      <t xml:space="preserve">SCAA </t>
    </r>
    <r>
      <rPr>
        <sz val="14"/>
        <rFont val="細明體"/>
        <family val="3"/>
        <charset val="136"/>
      </rPr>
      <t>嘉昇涷肉</t>
    </r>
  </si>
  <si>
    <t>15:2, 15:2</t>
  </si>
  <si>
    <t>6:15, 8:15</t>
  </si>
  <si>
    <r>
      <rPr>
        <sz val="12"/>
        <color rgb="FF000000"/>
        <rFont val="Calibri"/>
        <family val="2"/>
        <charset val="1"/>
      </rPr>
      <t xml:space="preserve">I.        </t>
    </r>
    <r>
      <rPr>
        <sz val="12"/>
        <color rgb="FF000000"/>
        <rFont val="微軟正黑體"/>
        <family val="2"/>
        <charset val="136"/>
      </rPr>
      <t>男子甲組：</t>
    </r>
  </si>
  <si>
    <r>
      <rPr>
        <sz val="12"/>
        <color rgb="FF000000"/>
        <rFont val="Calibri"/>
        <family val="2"/>
        <charset val="1"/>
      </rPr>
      <t xml:space="preserve">a.        </t>
    </r>
    <r>
      <rPr>
        <sz val="12"/>
        <color rgb="FF000000"/>
        <rFont val="微軟正黑體"/>
        <family val="2"/>
        <charset val="136"/>
      </rPr>
      <t>分組方法：</t>
    </r>
  </si>
  <si>
    <r>
      <rPr>
        <sz val="12"/>
        <color rgb="FF000000"/>
        <rFont val="Calibri"/>
        <family val="2"/>
        <charset val="1"/>
      </rPr>
      <t>i</t>
    </r>
    <r>
      <rPr>
        <sz val="12"/>
        <color rgb="FF000000"/>
        <rFont val="微軟正黑體"/>
        <family val="2"/>
        <charset val="136"/>
      </rPr>
      <t>、</t>
    </r>
    <r>
      <rPr>
        <sz val="12"/>
        <color rgb="FF000000"/>
        <rFont val="新細明體"/>
        <family val="1"/>
        <charset val="136"/>
      </rPr>
      <t xml:space="preserve">                        </t>
    </r>
    <r>
      <rPr>
        <sz val="12"/>
        <color rgb="FF000000"/>
        <rFont val="微軟正黑體"/>
        <family val="2"/>
        <charset val="136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36"/>
      </rPr>
      <t>）排列種子隊。</t>
    </r>
  </si>
  <si>
    <r>
      <rPr>
        <sz val="12"/>
        <color rgb="FF000000"/>
        <rFont val="Calibri"/>
        <family val="2"/>
        <charset val="1"/>
      </rPr>
      <t>ii</t>
    </r>
    <r>
      <rPr>
        <sz val="12"/>
        <color rgb="FF000000"/>
        <rFont val="微軟正黑體"/>
        <family val="2"/>
        <charset val="136"/>
      </rPr>
      <t>、</t>
    </r>
    <r>
      <rPr>
        <sz val="12"/>
        <color rgb="FF000000"/>
        <rFont val="新細明體"/>
        <family val="1"/>
        <charset val="136"/>
      </rPr>
      <t xml:space="preserve">                    </t>
    </r>
    <r>
      <rPr>
        <sz val="12"/>
        <color rgb="FF000000"/>
        <rFont val="微軟正黑體"/>
        <family val="2"/>
        <charset val="136"/>
      </rPr>
      <t>第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至第</t>
    </r>
    <r>
      <rPr>
        <sz val="12"/>
        <color rgb="FF000000"/>
        <rFont val="Calibri"/>
        <family val="2"/>
        <charset val="1"/>
      </rPr>
      <t>8</t>
    </r>
    <r>
      <rPr>
        <sz val="12"/>
        <color rgb="FF000000"/>
        <rFont val="微軟正黑體"/>
        <family val="2"/>
        <charset val="136"/>
      </rPr>
      <t>種子依次編入小組</t>
    </r>
    <r>
      <rPr>
        <sz val="12"/>
        <color rgb="FF000000"/>
        <rFont val="Calibri"/>
        <family val="2"/>
        <charset val="1"/>
      </rPr>
      <t>,</t>
    </r>
    <r>
      <rPr>
        <sz val="12"/>
        <color rgb="FF000000"/>
        <rFont val="微軟正黑體"/>
        <family val="2"/>
        <charset val="136"/>
      </rPr>
      <t>勝</t>
    </r>
    <r>
      <rPr>
        <sz val="12"/>
        <color rgb="FF000000"/>
        <rFont val="Calibri"/>
        <family val="2"/>
        <charset val="1"/>
      </rPr>
      <t>3</t>
    </r>
    <r>
      <rPr>
        <sz val="12"/>
        <color rgb="FF000000"/>
        <rFont val="微軟正黑體"/>
        <family val="2"/>
        <charset val="136"/>
      </rPr>
      <t>分</t>
    </r>
    <r>
      <rPr>
        <sz val="12"/>
        <color rgb="FF000000"/>
        <rFont val="Calibri"/>
        <family val="2"/>
        <charset val="1"/>
      </rPr>
      <t>,</t>
    </r>
    <r>
      <rPr>
        <sz val="12"/>
        <color rgb="FF000000"/>
        <rFont val="微軟正黑體"/>
        <family val="2"/>
        <charset val="136"/>
      </rPr>
      <t>和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分</t>
    </r>
    <r>
      <rPr>
        <sz val="12"/>
        <color rgb="FF000000"/>
        <rFont val="Calibri"/>
        <family val="2"/>
        <charset val="1"/>
      </rPr>
      <t>,</t>
    </r>
    <r>
      <rPr>
        <sz val="12"/>
        <color rgb="FF000000"/>
        <rFont val="微軟正黑體"/>
        <family val="2"/>
        <charset val="136"/>
      </rPr>
      <t>負</t>
    </r>
    <r>
      <rPr>
        <sz val="12"/>
        <color rgb="FF000000"/>
        <rFont val="Calibri"/>
        <family val="2"/>
        <charset val="1"/>
      </rPr>
      <t>0</t>
    </r>
    <r>
      <rPr>
        <sz val="12"/>
        <color rgb="FF000000"/>
        <rFont val="微軟正黑體"/>
        <family val="2"/>
        <charset val="136"/>
      </rPr>
      <t>分。</t>
    </r>
  </si>
  <si>
    <t>SEED#1</t>
  </si>
  <si>
    <t>SEED#2</t>
  </si>
  <si>
    <t>SEED#3</t>
  </si>
  <si>
    <t>SEED#4</t>
  </si>
  <si>
    <t>SEED#5</t>
  </si>
  <si>
    <t>SEED#6</t>
  </si>
  <si>
    <t>SEED#7</t>
  </si>
  <si>
    <t>SEED#8</t>
  </si>
  <si>
    <r>
      <rPr>
        <sz val="12"/>
        <color rgb="FF000000"/>
        <rFont val="新細明體"/>
        <family val="1"/>
        <charset val="136"/>
      </rPr>
      <t>                </t>
    </r>
    <r>
      <rPr>
        <sz val="12"/>
        <color rgb="FF000000"/>
        <rFont val="微軟正黑體"/>
        <family val="2"/>
        <charset val="136"/>
      </rPr>
      <t>單循環比賽中得分由高至低依次排名次。前四名晉身決賽。</t>
    </r>
  </si>
  <si>
    <r>
      <rPr>
        <sz val="12"/>
        <color rgb="FF000000"/>
        <rFont val="新細明體"/>
        <family val="1"/>
        <charset val="136"/>
      </rPr>
      <t xml:space="preserve">                </t>
    </r>
    <r>
      <rPr>
        <sz val="12"/>
        <color rgb="FF000000"/>
        <rFont val="微軟正黑體"/>
        <family val="2"/>
        <charset val="136"/>
      </rPr>
      <t>第五至八名分別得</t>
    </r>
    <r>
      <rPr>
        <sz val="12"/>
        <color rgb="FF000000"/>
        <rFont val="Calibri"/>
        <family val="2"/>
        <charset val="1"/>
      </rPr>
      <t>96,90,84,78</t>
    </r>
    <r>
      <rPr>
        <sz val="12"/>
        <color rgb="FF000000"/>
        <rFont val="微軟正黑體"/>
        <family val="2"/>
        <charset val="136"/>
      </rPr>
      <t>種子分</t>
    </r>
  </si>
  <si>
    <r>
      <rPr>
        <sz val="12"/>
        <color rgb="FF000000"/>
        <rFont val="Calibri"/>
        <family val="2"/>
        <charset val="1"/>
      </rPr>
      <t>2</t>
    </r>
    <r>
      <rPr>
        <sz val="12"/>
        <color rgb="FF000000"/>
        <rFont val="微軟正黑體"/>
        <family val="2"/>
        <charset val="136"/>
      </rPr>
      <t>、</t>
    </r>
    <r>
      <rPr>
        <sz val="12"/>
        <color rgb="FF000000"/>
        <rFont val="新細明體"/>
        <family val="1"/>
        <charset val="136"/>
      </rPr>
      <t xml:space="preserve">                       </t>
    </r>
    <r>
      <rPr>
        <sz val="12"/>
        <color rgb="FF000000"/>
        <rFont val="微軟正黑體"/>
        <family val="2"/>
        <charset val="136"/>
      </rPr>
      <t>小組首四名交叉對賽</t>
    </r>
    <r>
      <rPr>
        <sz val="12"/>
        <color rgb="FF000000"/>
        <rFont val="Calibri"/>
        <family val="2"/>
        <charset val="1"/>
      </rPr>
      <t>,</t>
    </r>
    <r>
      <rPr>
        <sz val="12"/>
        <color rgb="FF000000"/>
        <rFont val="微軟正黑體"/>
        <family val="2"/>
        <charset val="136"/>
      </rPr>
      <t>勝者進行冠軍賽</t>
    </r>
    <r>
      <rPr>
        <sz val="12"/>
        <color rgb="FF000000"/>
        <rFont val="Calibri"/>
        <family val="2"/>
        <charset val="1"/>
      </rPr>
      <t>,</t>
    </r>
    <r>
      <rPr>
        <sz val="12"/>
        <color rgb="FF000000"/>
        <rFont val="微軟正黑體"/>
        <family val="2"/>
        <charset val="136"/>
      </rPr>
      <t>負者進行季軍賽；</t>
    </r>
  </si>
  <si>
    <t>MA1</t>
  </si>
  <si>
    <t>MA4</t>
  </si>
  <si>
    <t>Final 1/2 places</t>
  </si>
  <si>
    <t>MA2</t>
  </si>
  <si>
    <t>1st</t>
  </si>
  <si>
    <t>144 pts</t>
  </si>
  <si>
    <t>MA3</t>
  </si>
  <si>
    <t>2nd</t>
  </si>
  <si>
    <t>132 pts</t>
  </si>
  <si>
    <t>Final 3/4 places</t>
  </si>
  <si>
    <t>3rd</t>
  </si>
  <si>
    <t>120 pts</t>
  </si>
  <si>
    <t>4th</t>
  </si>
  <si>
    <t>108 pts</t>
  </si>
  <si>
    <t>Playing Schedule (Men's Division I)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</si>
  <si>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男子男組</t>
    </r>
    <r>
      <rPr>
        <b/>
        <sz val="18"/>
        <rFont val="Calibri"/>
        <family val="2"/>
        <charset val="1"/>
      </rPr>
      <t>)</t>
    </r>
  </si>
  <si>
    <t>局數</t>
  </si>
  <si>
    <t>分數</t>
  </si>
  <si>
    <t>????</t>
  </si>
  <si>
    <t>POOL</t>
  </si>
  <si>
    <t>Group</t>
  </si>
  <si>
    <t>TEAMS</t>
  </si>
  <si>
    <t>TEAM A</t>
  </si>
  <si>
    <t>TEAM B</t>
  </si>
  <si>
    <t>Serial no.</t>
  </si>
  <si>
    <t>分組</t>
  </si>
  <si>
    <t>Match No.</t>
  </si>
  <si>
    <t>對賽隊</t>
  </si>
  <si>
    <t>Position</t>
  </si>
  <si>
    <t>Win</t>
  </si>
  <si>
    <t>Draw</t>
  </si>
  <si>
    <t>Loss</t>
  </si>
  <si>
    <t>A</t>
  </si>
  <si>
    <t>Vs</t>
  </si>
  <si>
    <t>21:19, 21:17</t>
  </si>
  <si>
    <t>19:21, 15:21</t>
  </si>
  <si>
    <t>ALPS-WL</t>
  </si>
  <si>
    <t>21:17, 5:21</t>
  </si>
  <si>
    <t>19:21, 12:21</t>
  </si>
  <si>
    <t>21:16, 21:14</t>
  </si>
  <si>
    <t>ALPS-T&amp;W</t>
  </si>
  <si>
    <t>14:21, 16:21</t>
  </si>
  <si>
    <t>18:21, 13:21</t>
  </si>
  <si>
    <t>21:13, 21:13</t>
  </si>
  <si>
    <t>17:21, 15:21</t>
  </si>
  <si>
    <t>21:11, 21:13</t>
  </si>
  <si>
    <t>總得分</t>
  </si>
  <si>
    <t>總失分</t>
  </si>
  <si>
    <t>得分率</t>
  </si>
  <si>
    <t>19:21, 19:21</t>
  </si>
  <si>
    <t>21:19, 10:21</t>
  </si>
  <si>
    <t>21:13, 19:21</t>
  </si>
  <si>
    <t>25:23, 19:21</t>
  </si>
  <si>
    <t>21:19, 23:25</t>
  </si>
  <si>
    <t>15:21, 14:21</t>
  </si>
  <si>
    <t>20:22, 17:21</t>
  </si>
  <si>
    <t>21:23, 24:22</t>
  </si>
  <si>
    <t>18:21, 23:25</t>
  </si>
  <si>
    <t>21:11, 21:11</t>
  </si>
  <si>
    <t>21:12, 14:21</t>
  </si>
  <si>
    <t>21:17, 16:21</t>
  </si>
  <si>
    <t>21:15, 22:20</t>
  </si>
  <si>
    <t>Alps CAUTION NO SHOW</t>
  </si>
  <si>
    <t>2R NO SHOW</t>
  </si>
  <si>
    <t>SA NO SHOW</t>
  </si>
  <si>
    <t>19:21, 20:22</t>
  </si>
  <si>
    <t>E</t>
  </si>
  <si>
    <t>F</t>
  </si>
  <si>
    <t>G</t>
  </si>
  <si>
    <t>H</t>
  </si>
  <si>
    <r>
      <rPr>
        <sz val="12"/>
        <color rgb="FF000000"/>
        <rFont val="Calibri"/>
        <family val="2"/>
        <charset val="1"/>
      </rPr>
      <t xml:space="preserve">I.        </t>
    </r>
    <r>
      <rPr>
        <sz val="12"/>
        <color rgb="FF000000"/>
        <rFont val="微軟正黑體"/>
        <family val="2"/>
        <charset val="136"/>
      </rPr>
      <t>男子乙組：</t>
    </r>
  </si>
  <si>
    <r>
      <rPr>
        <sz val="12"/>
        <rFont val="Calibri"/>
        <family val="2"/>
        <charset val="1"/>
      </rPr>
      <t>ii</t>
    </r>
    <r>
      <rPr>
        <sz val="12"/>
        <rFont val="微軟正黑體"/>
        <family val="2"/>
        <charset val="136"/>
      </rPr>
      <t>、</t>
    </r>
    <r>
      <rPr>
        <sz val="12"/>
        <rFont val="新細明體"/>
        <family val="1"/>
        <charset val="136"/>
      </rPr>
      <t xml:space="preserve">                   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  <charset val="1"/>
      </rPr>
      <t>9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  <charset val="1"/>
      </rPr>
      <t>H</t>
    </r>
    <r>
      <rPr>
        <sz val="12"/>
        <rFont val="微軟正黑體"/>
        <family val="2"/>
        <charset val="136"/>
      </rPr>
      <t>組。</t>
    </r>
  </si>
  <si>
    <t>B</t>
  </si>
  <si>
    <t>C</t>
  </si>
  <si>
    <t>D</t>
  </si>
  <si>
    <t>SEED#9</t>
  </si>
  <si>
    <t>SEED#10</t>
  </si>
  <si>
    <t>SEED#11</t>
  </si>
  <si>
    <t>SEED#12</t>
  </si>
  <si>
    <t>SEED#13</t>
  </si>
  <si>
    <t>SEED#14</t>
  </si>
  <si>
    <t>SEED#15</t>
  </si>
  <si>
    <t>SEED#16</t>
  </si>
  <si>
    <t>SEED#24</t>
  </si>
  <si>
    <t>SEED#23</t>
  </si>
  <si>
    <t>SEED#22</t>
  </si>
  <si>
    <t>SEED#21</t>
  </si>
  <si>
    <t>SEED#20</t>
  </si>
  <si>
    <t>SEED#19</t>
  </si>
  <si>
    <t>SEED#18</t>
  </si>
  <si>
    <t>SEED#17</t>
  </si>
  <si>
    <t>SEED#25</t>
  </si>
  <si>
    <t>SEED#26</t>
  </si>
  <si>
    <t>SEED#27</t>
  </si>
  <si>
    <t>SEED#28</t>
  </si>
  <si>
    <t>SEED#29</t>
  </si>
  <si>
    <t>SEED#30</t>
  </si>
  <si>
    <t>SEED#31</t>
  </si>
  <si>
    <t>SEED#32</t>
  </si>
  <si>
    <t>SEED#36</t>
  </si>
  <si>
    <t>SEED#35</t>
  </si>
  <si>
    <t>SEED#34</t>
  </si>
  <si>
    <t>SEED#33</t>
  </si>
  <si>
    <r>
      <rPr>
        <sz val="12"/>
        <rFont val="新細明體"/>
        <family val="1"/>
        <charset val="136"/>
      </rPr>
      <t>                  </t>
    </r>
    <r>
      <rPr>
        <sz val="12"/>
        <rFont val="微軟正黑體"/>
        <family val="2"/>
        <charset val="136"/>
      </rPr>
      <t>小組單循環比賽中得分由高至低依次排名次。首次名晉級。</t>
    </r>
  </si>
  <si>
    <r>
      <rPr>
        <sz val="12"/>
        <rFont val="新細明體"/>
        <family val="1"/>
        <charset val="136"/>
      </rPr>
      <t xml:space="preserve">                </t>
    </r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  <charset val="1"/>
      </rPr>
      <t>17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36"/>
      </rPr>
      <t>種子分。</t>
    </r>
    <r>
      <rPr>
        <sz val="12"/>
        <rFont val="新細明體"/>
        <family val="1"/>
        <charset val="136"/>
      </rPr>
      <t xml:space="preserve">                </t>
    </r>
    <r>
      <rPr>
        <sz val="12"/>
        <rFont val="微軟正黑體"/>
        <family val="2"/>
        <charset val="136"/>
      </rPr>
      <t>第四名為名次</t>
    </r>
    <r>
      <rPr>
        <sz val="12"/>
        <rFont val="Calibri"/>
        <family val="2"/>
        <charset val="1"/>
      </rPr>
      <t>25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種子分。</t>
    </r>
  </si>
  <si>
    <r>
      <rPr>
        <sz val="12"/>
        <color rgb="FF000000"/>
        <rFont val="Calibri"/>
        <family val="2"/>
        <charset val="1"/>
      </rPr>
      <t>2.      16</t>
    </r>
    <r>
      <rPr>
        <sz val="12"/>
        <color rgb="FF000000"/>
        <rFont val="微軟正黑體"/>
        <family val="2"/>
        <charset val="136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36"/>
      </rPr>
      <t>名次。</t>
    </r>
  </si>
  <si>
    <t>MB1</t>
  </si>
  <si>
    <t>Ben &amp; Eoach NO SHOW</t>
  </si>
  <si>
    <t>MB9</t>
  </si>
  <si>
    <t>21:13, 21:15</t>
  </si>
  <si>
    <t>MB2</t>
  </si>
  <si>
    <t>14:21, 21:17, 15:12</t>
  </si>
  <si>
    <t>MB13</t>
  </si>
  <si>
    <t>23:21, 21:14</t>
  </si>
  <si>
    <t>MB3</t>
  </si>
  <si>
    <t>MB10</t>
  </si>
  <si>
    <t>21:9, 21:13</t>
  </si>
  <si>
    <t>MB4</t>
  </si>
  <si>
    <t>21:19, 21:18</t>
  </si>
  <si>
    <t>MB16</t>
  </si>
  <si>
    <t>21:17, 21:11</t>
  </si>
  <si>
    <t>MB5</t>
  </si>
  <si>
    <t>16:21, 21:11, 15:9</t>
  </si>
  <si>
    <t>MB11</t>
  </si>
  <si>
    <t>17:21, 21:16, 15:7</t>
  </si>
  <si>
    <t>MB6</t>
  </si>
  <si>
    <t>16:21, 22:20, 11:!5</t>
  </si>
  <si>
    <t>MB14</t>
  </si>
  <si>
    <t>2114, 14:21, 14:16</t>
  </si>
  <si>
    <t>MB7</t>
  </si>
  <si>
    <t>21:19, 23:21</t>
  </si>
  <si>
    <t>MB12</t>
  </si>
  <si>
    <t>13:21, 9:21</t>
  </si>
  <si>
    <t>MB15</t>
  </si>
  <si>
    <t>21:11, 12:21, 15:13</t>
  </si>
  <si>
    <t>MB8</t>
  </si>
  <si>
    <t>Alps-ZJ NO SHOW</t>
  </si>
  <si>
    <t>96 pts</t>
  </si>
  <si>
    <t>84 pts</t>
  </si>
  <si>
    <t>5th</t>
  </si>
  <si>
    <t>72 pts</t>
  </si>
  <si>
    <t>9th</t>
  </si>
  <si>
    <t>54 pts</t>
  </si>
  <si>
    <t>Playing Schedule (Men's Division II)</t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</si>
  <si>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新細明體"/>
        <family val="1"/>
        <charset val="136"/>
      </rPr>
      <t xml:space="preserve"> </t>
    </r>
    <r>
      <rPr>
        <b/>
        <sz val="18"/>
        <rFont val="Calibri"/>
        <family val="2"/>
        <charset val="1"/>
      </rPr>
      <t>(</t>
    </r>
    <r>
      <rPr>
        <b/>
        <sz val="18"/>
        <rFont val="微軟正黑體"/>
        <family val="2"/>
        <charset val="136"/>
      </rPr>
      <t>男子乙組</t>
    </r>
    <r>
      <rPr>
        <b/>
        <sz val="18"/>
        <rFont val="Calibri"/>
        <family val="2"/>
        <charset val="1"/>
      </rPr>
      <t>)</t>
    </r>
  </si>
  <si>
    <t>vvE NO SHOW</t>
  </si>
  <si>
    <t>YAMM NO SHOW</t>
  </si>
  <si>
    <t>21:13, 21:11</t>
  </si>
  <si>
    <t>-</t>
  </si>
  <si>
    <t>Both teams NO SHOW</t>
  </si>
  <si>
    <t>21:13, 21:9</t>
  </si>
  <si>
    <t>21:19, 21:19</t>
  </si>
  <si>
    <t>ALPS-handshake</t>
  </si>
  <si>
    <t>21:17, 21:14</t>
  </si>
  <si>
    <t>Ben &amp; Eoach</t>
  </si>
  <si>
    <r>
      <rPr>
        <sz val="12"/>
        <rFont val="Calibri"/>
        <family val="2"/>
        <charset val="1"/>
      </rPr>
      <t xml:space="preserve">SCAA </t>
    </r>
    <r>
      <rPr>
        <sz val="12"/>
        <rFont val="細明體"/>
        <family val="3"/>
        <charset val="136"/>
      </rPr>
      <t>嘉昇涷肉</t>
    </r>
  </si>
  <si>
    <t>21:17, 21:16</t>
  </si>
  <si>
    <r>
      <rPr>
        <sz val="12"/>
        <rFont val="細明體"/>
        <family val="3"/>
        <charset val="136"/>
      </rPr>
      <t>熱情的麻鷹</t>
    </r>
    <r>
      <rPr>
        <sz val="12"/>
        <rFont val="Microsoft YaHei"/>
        <family val="2"/>
        <charset val="136"/>
      </rPr>
      <t xml:space="preserve"> </t>
    </r>
  </si>
  <si>
    <t>呂郭碧鳳</t>
  </si>
  <si>
    <t>13:21, 21:12</t>
  </si>
  <si>
    <t>21:16, 21:12</t>
  </si>
  <si>
    <r>
      <rPr>
        <sz val="12"/>
        <rFont val="細明體"/>
        <family val="3"/>
        <charset val="136"/>
      </rPr>
      <t>熱情的麻鷹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NO SHOW</t>
    </r>
  </si>
  <si>
    <t>21:13, 21:14</t>
  </si>
  <si>
    <t>Alison volleyball</t>
  </si>
  <si>
    <t>21:10, 12:21</t>
  </si>
  <si>
    <r>
      <rPr>
        <sz val="12"/>
        <rFont val="細明體"/>
        <family val="3"/>
        <charset val="136"/>
      </rPr>
      <t>呂郭碧鳳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WITHDRAW</t>
    </r>
  </si>
  <si>
    <t>22:20, 21:9</t>
  </si>
  <si>
    <r>
      <rPr>
        <sz val="12"/>
        <rFont val="Calibri"/>
        <family val="2"/>
        <charset val="1"/>
      </rPr>
      <t>ALPS-</t>
    </r>
    <r>
      <rPr>
        <sz val="12"/>
        <rFont val="細明體"/>
        <family val="3"/>
        <charset val="136"/>
      </rPr>
      <t>平均米九</t>
    </r>
  </si>
  <si>
    <t>21:12, 21:19</t>
  </si>
  <si>
    <r>
      <rPr>
        <sz val="12"/>
        <rFont val="Calibri"/>
        <family val="2"/>
        <charset val="1"/>
      </rPr>
      <t>ALPS_</t>
    </r>
    <r>
      <rPr>
        <sz val="12"/>
        <rFont val="細明體"/>
        <family val="3"/>
        <charset val="136"/>
      </rPr>
      <t>我要買</t>
    </r>
    <r>
      <rPr>
        <sz val="12"/>
        <rFont val="Calibri"/>
        <family val="2"/>
        <charset val="1"/>
      </rPr>
      <t>GTR</t>
    </r>
  </si>
  <si>
    <t>21:2, 21:7</t>
  </si>
  <si>
    <r>
      <rPr>
        <sz val="12"/>
        <rFont val="細明體"/>
        <family val="3"/>
        <charset val="136"/>
      </rPr>
      <t>爸爸隊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NO SHOW</t>
    </r>
  </si>
  <si>
    <t>21:11, 21:6</t>
  </si>
  <si>
    <t>21:15, 21:18</t>
  </si>
  <si>
    <t>SCAA 99 WITHDRAW</t>
  </si>
  <si>
    <t>7:21, 13:21</t>
  </si>
  <si>
    <t>21:13, 21:12</t>
  </si>
  <si>
    <t>Zlatan NO SHOW</t>
  </si>
  <si>
    <t>SCAA x CSUN NO SHOW</t>
  </si>
  <si>
    <t>16:21, 16:21</t>
  </si>
  <si>
    <t>FS NO SHOW</t>
  </si>
  <si>
    <t>21:16, 21:16</t>
  </si>
  <si>
    <t>LSC NO SHOW</t>
  </si>
  <si>
    <t>ST</t>
  </si>
  <si>
    <t>杜詠彤</t>
  </si>
  <si>
    <t>F530</t>
  </si>
  <si>
    <t>江卓儀</t>
  </si>
  <si>
    <t>F115</t>
  </si>
  <si>
    <r>
      <rPr>
        <sz val="14"/>
        <rFont val="微軟正黑體"/>
        <family val="2"/>
        <charset val="136"/>
      </rPr>
      <t>荃青</t>
    </r>
    <r>
      <rPr>
        <sz val="14"/>
        <rFont val="Microsoft YaHei"/>
        <family val="2"/>
        <charset val="136"/>
      </rPr>
      <t>—</t>
    </r>
    <r>
      <rPr>
        <sz val="14"/>
        <rFont val="Calibri"/>
        <family val="2"/>
        <charset val="1"/>
      </rPr>
      <t>AYY</t>
    </r>
  </si>
  <si>
    <t>歐陽瑋欣</t>
  </si>
  <si>
    <t>F538</t>
  </si>
  <si>
    <t>古蓉蓉</t>
  </si>
  <si>
    <t>F395</t>
  </si>
  <si>
    <t>羚靖</t>
  </si>
  <si>
    <t>黃雯靖</t>
  </si>
  <si>
    <t>F681</t>
  </si>
  <si>
    <t>曾岳羚</t>
  </si>
  <si>
    <t>F735</t>
  </si>
  <si>
    <t>Men</t>
  </si>
  <si>
    <t>駱純</t>
  </si>
  <si>
    <t>F599</t>
  </si>
  <si>
    <t>袁廷芝</t>
  </si>
  <si>
    <t>F153</t>
  </si>
  <si>
    <t xml:space="preserve">Acti tape </t>
  </si>
  <si>
    <t>盧慧茵</t>
  </si>
  <si>
    <t>F202</t>
  </si>
  <si>
    <t>吳詠嵐</t>
  </si>
  <si>
    <t>F628</t>
  </si>
  <si>
    <t>YhtNyi</t>
  </si>
  <si>
    <t>余凱婷</t>
  </si>
  <si>
    <t>F660</t>
  </si>
  <si>
    <t>吳玥嬈</t>
  </si>
  <si>
    <t>F609</t>
  </si>
  <si>
    <t>SURVIVOR</t>
  </si>
  <si>
    <t>梁倩橋</t>
  </si>
  <si>
    <t>F583</t>
  </si>
  <si>
    <t>馮可盈</t>
  </si>
  <si>
    <t>F582</t>
  </si>
  <si>
    <t>Yumika</t>
  </si>
  <si>
    <t>楊紫霞</t>
  </si>
  <si>
    <t>F439</t>
  </si>
  <si>
    <t>陳秋穎</t>
  </si>
  <si>
    <t>F105</t>
  </si>
  <si>
    <t xml:space="preserve">Blue team </t>
  </si>
  <si>
    <t>劉錦玉</t>
  </si>
  <si>
    <t>F631</t>
  </si>
  <si>
    <t>林穎哲</t>
  </si>
  <si>
    <t>F611</t>
  </si>
  <si>
    <t>筱瑩</t>
  </si>
  <si>
    <t>陳筱琳</t>
  </si>
  <si>
    <t>F750</t>
  </si>
  <si>
    <t>馬曉瑩</t>
  </si>
  <si>
    <t>F757</t>
  </si>
  <si>
    <t>The Passionate Miami</t>
  </si>
  <si>
    <t>周祖因</t>
  </si>
  <si>
    <t>F649</t>
  </si>
  <si>
    <t>林詩敏</t>
  </si>
  <si>
    <t>F596</t>
  </si>
  <si>
    <t>LAM&amp;ZOE</t>
  </si>
  <si>
    <t>梁詩蕊</t>
  </si>
  <si>
    <t>F595</t>
  </si>
  <si>
    <t>王苑霖</t>
  </si>
  <si>
    <t>F567</t>
  </si>
  <si>
    <t>Reunion</t>
  </si>
  <si>
    <t>任頌欣</t>
  </si>
  <si>
    <t>F585</t>
  </si>
  <si>
    <t>劉天慧</t>
  </si>
  <si>
    <t>F142</t>
  </si>
  <si>
    <t>求奇</t>
  </si>
  <si>
    <t>吳希瑜</t>
  </si>
  <si>
    <t>F460</t>
  </si>
  <si>
    <t>黃詠雪</t>
  </si>
  <si>
    <t>F772</t>
  </si>
  <si>
    <t>CKYK</t>
  </si>
  <si>
    <t>陳綺琪</t>
  </si>
  <si>
    <t>F753</t>
  </si>
  <si>
    <t>陳嘉欣</t>
  </si>
  <si>
    <t>F762</t>
  </si>
  <si>
    <t>J&amp;M</t>
  </si>
  <si>
    <t>布諾珩</t>
  </si>
  <si>
    <t>F584</t>
  </si>
  <si>
    <t>廖美恩</t>
  </si>
  <si>
    <t>F437</t>
  </si>
  <si>
    <t>YSYL</t>
  </si>
  <si>
    <t>葉萃茹</t>
  </si>
  <si>
    <t>F520</t>
  </si>
  <si>
    <t>葉萃苓</t>
  </si>
  <si>
    <t>F696</t>
  </si>
  <si>
    <t>CYMCASS</t>
  </si>
  <si>
    <t>周學林</t>
  </si>
  <si>
    <t>F743</t>
  </si>
  <si>
    <t>鄒穎琳</t>
  </si>
  <si>
    <t>GLORY</t>
  </si>
  <si>
    <t>林淑怡</t>
  </si>
  <si>
    <t>F675</t>
  </si>
  <si>
    <t>石珈甄</t>
  </si>
  <si>
    <t>F636</t>
  </si>
  <si>
    <t>B2,A2,A3,B3,C3,D3,E3,F3,F4</t>
  </si>
  <si>
    <t>VANICA</t>
  </si>
  <si>
    <t>連秀榕</t>
  </si>
  <si>
    <t>F622</t>
  </si>
  <si>
    <t>周紫童</t>
  </si>
  <si>
    <t>SYNERGY</t>
  </si>
  <si>
    <t>陳潔怡</t>
  </si>
  <si>
    <t>尹子婷</t>
  </si>
  <si>
    <r>
      <rPr>
        <sz val="14"/>
        <rFont val="微軟正黑體"/>
        <family val="2"/>
        <charset val="136"/>
      </rPr>
      <t>荃青</t>
    </r>
    <r>
      <rPr>
        <sz val="14"/>
        <rFont val="Microsoft YaHei"/>
        <family val="2"/>
        <charset val="136"/>
      </rPr>
      <t>—</t>
    </r>
    <r>
      <rPr>
        <sz val="14"/>
        <rFont val="微軟正黑體"/>
        <family val="2"/>
        <charset val="136"/>
      </rPr>
      <t>黑寶</t>
    </r>
  </si>
  <si>
    <t>李佩珊</t>
  </si>
  <si>
    <t>F260</t>
  </si>
  <si>
    <t>黃寶筠</t>
  </si>
  <si>
    <t>Limit</t>
  </si>
  <si>
    <t>陳嬿而</t>
  </si>
  <si>
    <t>黎曉彤</t>
  </si>
  <si>
    <t>麥糖</t>
  </si>
  <si>
    <t>麥詠詩</t>
  </si>
  <si>
    <t>洪靖兒</t>
  </si>
  <si>
    <t>panda</t>
  </si>
  <si>
    <t>劉希雯</t>
  </si>
  <si>
    <t>黃紫晴</t>
  </si>
  <si>
    <t>BUTTERFLY S.</t>
  </si>
  <si>
    <t>黎佩瑩</t>
  </si>
  <si>
    <t>F588</t>
  </si>
  <si>
    <t>呂惠敏</t>
  </si>
  <si>
    <t>F589</t>
  </si>
  <si>
    <t>Ching Chung</t>
  </si>
  <si>
    <t>陳靜彤</t>
  </si>
  <si>
    <t>陳莉媛</t>
  </si>
  <si>
    <t>???</t>
  </si>
  <si>
    <t>F691</t>
  </si>
  <si>
    <t>F692</t>
  </si>
  <si>
    <t>F693</t>
  </si>
  <si>
    <t>F694</t>
  </si>
  <si>
    <t>F695</t>
  </si>
  <si>
    <t>F697</t>
  </si>
  <si>
    <t>F698</t>
  </si>
  <si>
    <t>F699</t>
  </si>
  <si>
    <t>F700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</si>
  <si>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</si>
  <si>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</si>
  <si>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</si>
  <si>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</si>
  <si>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</si>
  <si>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</si>
  <si>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</si>
  <si>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</si>
  <si>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</si>
  <si>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</si>
  <si>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</si>
  <si>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</si>
  <si>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QT5</t>
  </si>
  <si>
    <t>F713</t>
  </si>
  <si>
    <t>F714</t>
  </si>
  <si>
    <t>F715</t>
  </si>
  <si>
    <t>F716</t>
  </si>
  <si>
    <t>F717</t>
  </si>
  <si>
    <t>F718</t>
  </si>
  <si>
    <t>F719</t>
  </si>
  <si>
    <t>F720</t>
  </si>
  <si>
    <t xml:space="preserve"> AB4</t>
  </si>
  <si>
    <t>F721</t>
  </si>
  <si>
    <t>F722</t>
  </si>
  <si>
    <t>F723</t>
  </si>
  <si>
    <t>F724</t>
  </si>
  <si>
    <t>F725</t>
  </si>
  <si>
    <r>
      <rPr>
        <sz val="12"/>
        <color rgb="FF000000"/>
        <rFont val="Calibri"/>
        <family val="2"/>
        <charset val="1"/>
      </rPr>
      <t xml:space="preserve">I.        </t>
    </r>
    <r>
      <rPr>
        <sz val="12"/>
        <color rgb="FF000000"/>
        <rFont val="微軟正黑體"/>
        <family val="2"/>
        <charset val="136"/>
      </rPr>
      <t>女子甲組：</t>
    </r>
  </si>
  <si>
    <t>WA1</t>
  </si>
  <si>
    <t>WA4</t>
  </si>
  <si>
    <t>WA2</t>
  </si>
  <si>
    <t>WA3</t>
  </si>
  <si>
    <t>Playing Schedule (Women's Division I)</t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</si>
  <si>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Calibri"/>
        <family val="2"/>
        <charset val="1"/>
      </rPr>
      <t>(</t>
    </r>
    <r>
      <rPr>
        <b/>
        <sz val="12"/>
        <rFont val="微軟正黑體"/>
        <family val="2"/>
        <charset val="136"/>
      </rPr>
      <t>女子甲組</t>
    </r>
    <r>
      <rPr>
        <b/>
        <sz val="12"/>
        <rFont val="Calibri"/>
        <family val="2"/>
        <charset val="1"/>
      </rPr>
      <t>)</t>
    </r>
  </si>
  <si>
    <r>
      <rPr>
        <sz val="12"/>
        <rFont val="細明體"/>
        <family val="3"/>
        <charset val="136"/>
      </rPr>
      <t>荃青</t>
    </r>
    <r>
      <rPr>
        <sz val="12"/>
        <rFont val="Calibri"/>
        <family val="2"/>
        <charset val="1"/>
      </rPr>
      <t>-AYY</t>
    </r>
  </si>
  <si>
    <t>Yumika NO SHOW</t>
  </si>
  <si>
    <t>21:9, 21:19</t>
  </si>
  <si>
    <t>21:7, 21:9</t>
  </si>
  <si>
    <t>12:21, 14:21</t>
  </si>
  <si>
    <t>Acti tape</t>
  </si>
  <si>
    <t>21:8, 21:8</t>
  </si>
  <si>
    <t>13:21, 15:21</t>
  </si>
  <si>
    <t>17:21, 14:21</t>
  </si>
  <si>
    <t>21:10, 21:9</t>
  </si>
  <si>
    <t>16:21, 6:21</t>
  </si>
  <si>
    <t>ST WITHDRAW</t>
  </si>
  <si>
    <r>
      <rPr>
        <sz val="12"/>
        <rFont val="Microsoft YaHei"/>
        <family val="2"/>
        <charset val="136"/>
      </rPr>
      <t>荃青—</t>
    </r>
    <r>
      <rPr>
        <sz val="12"/>
        <rFont val="Calibri"/>
        <family val="2"/>
        <charset val="1"/>
      </rPr>
      <t>AYY</t>
    </r>
  </si>
  <si>
    <t>11:21, 13:21</t>
  </si>
  <si>
    <t>11:21, 15:21</t>
  </si>
  <si>
    <t>10:21, 10:21</t>
  </si>
  <si>
    <t>21:16, 12:21</t>
  </si>
  <si>
    <t>18:21, 22:24</t>
  </si>
  <si>
    <t>16:21, 21:18</t>
  </si>
  <si>
    <t>17:21, 21:19</t>
  </si>
  <si>
    <t>21:12, 17:21</t>
  </si>
  <si>
    <t>9:21, 13:21</t>
  </si>
  <si>
    <t>5:21, 11:21</t>
  </si>
  <si>
    <t>17:21, 21:13</t>
  </si>
  <si>
    <t>.</t>
  </si>
  <si>
    <r>
      <rPr>
        <sz val="14"/>
        <color rgb="FF000000"/>
        <rFont val="Calibri"/>
        <family val="2"/>
        <charset val="1"/>
      </rPr>
      <t>I.       </t>
    </r>
    <r>
      <rPr>
        <sz val="14"/>
        <color rgb="FF000000"/>
        <rFont val="微軟正黑體"/>
        <family val="2"/>
        <charset val="136"/>
      </rPr>
      <t>女子乙組：</t>
    </r>
  </si>
  <si>
    <r>
      <rPr>
        <sz val="12"/>
        <color rgb="FF000000"/>
        <rFont val="Calibri"/>
        <family val="2"/>
        <charset val="1"/>
      </rPr>
      <t>a.</t>
    </r>
    <r>
      <rPr>
        <sz val="7"/>
        <color rgb="FF000000"/>
        <rFont val="Calibri"/>
        <family val="2"/>
        <charset val="1"/>
      </rPr>
      <t xml:space="preserve">        </t>
    </r>
    <r>
      <rPr>
        <sz val="12"/>
        <color rgb="FF000000"/>
        <rFont val="微軟正黑體"/>
        <family val="2"/>
        <charset val="136"/>
      </rPr>
      <t>分組方法：</t>
    </r>
  </si>
  <si>
    <r>
      <rPr>
        <sz val="12"/>
        <color rgb="FF000000"/>
        <rFont val="Calibri"/>
        <family val="2"/>
        <charset val="1"/>
      </rPr>
      <t>i</t>
    </r>
    <r>
      <rPr>
        <sz val="12"/>
        <color rgb="FF000000"/>
        <rFont val="微軟正黑體"/>
        <family val="2"/>
        <charset val="136"/>
      </rPr>
      <t>、</t>
    </r>
    <r>
      <rPr>
        <sz val="7"/>
        <color rgb="FF000000"/>
        <rFont val="新細明體"/>
        <family val="1"/>
        <charset val="136"/>
      </rPr>
      <t xml:space="preserve">                     </t>
    </r>
    <r>
      <rPr>
        <sz val="12"/>
        <color rgb="FF000000"/>
        <rFont val="微軟正黑體"/>
        <family val="2"/>
        <charset val="136"/>
      </rPr>
      <t>以種子分（</t>
    </r>
    <r>
      <rPr>
        <sz val="12"/>
        <color rgb="FF000000"/>
        <rFont val="Calibri"/>
        <family val="2"/>
        <charset val="1"/>
      </rPr>
      <t>SEEDING POINT</t>
    </r>
    <r>
      <rPr>
        <sz val="12"/>
        <color rgb="FF000000"/>
        <rFont val="微軟正黑體"/>
        <family val="2"/>
        <charset val="136"/>
      </rPr>
      <t>）排列種子隊。</t>
    </r>
  </si>
  <si>
    <r>
      <rPr>
        <sz val="12"/>
        <rFont val="Calibri"/>
        <family val="2"/>
        <charset val="1"/>
      </rPr>
      <t>ii</t>
    </r>
    <r>
      <rPr>
        <sz val="12"/>
        <rFont val="微軟正黑體"/>
        <family val="2"/>
        <charset val="136"/>
      </rPr>
      <t>、</t>
    </r>
    <r>
      <rPr>
        <sz val="7"/>
        <rFont val="新細明體"/>
        <family val="1"/>
        <charset val="136"/>
      </rPr>
      <t xml:space="preserve">                   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  <charset val="1"/>
      </rPr>
      <t>9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  <charset val="1"/>
      </rPr>
      <t>27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  <charset val="1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  <charset val="1"/>
      </rPr>
      <t>E</t>
    </r>
    <r>
      <rPr>
        <sz val="12"/>
        <rFont val="微軟正黑體"/>
        <family val="2"/>
        <charset val="136"/>
      </rPr>
      <t>組。</t>
    </r>
  </si>
  <si>
    <r>
      <rPr>
        <sz val="12"/>
        <rFont val="微軟正黑體"/>
        <family val="2"/>
        <charset val="136"/>
      </rPr>
      <t>小組單循環比賽中得分由高至低依次排名次，首次名晉級。</t>
    </r>
    <r>
      <rPr>
        <sz val="12"/>
        <rFont val="Calibri"/>
        <family val="2"/>
        <charset val="1"/>
      </rPr>
      <t>(</t>
    </r>
    <r>
      <rPr>
        <sz val="12"/>
        <rFont val="微軟正黑體"/>
        <family val="2"/>
        <charset val="136"/>
      </rPr>
      <t>如隊伍成績相同，將進行抽籤</t>
    </r>
    <r>
      <rPr>
        <sz val="12"/>
        <rFont val="Calibri"/>
        <family val="2"/>
        <charset val="1"/>
      </rPr>
      <t>)</t>
    </r>
  </si>
  <si>
    <r>
      <rPr>
        <sz val="12"/>
        <rFont val="Calibri"/>
        <family val="2"/>
        <charset val="1"/>
      </rPr>
      <t>A-D</t>
    </r>
    <r>
      <rPr>
        <sz val="12"/>
        <color rgb="FF000000"/>
        <rFont val="微軟正黑體"/>
        <family val="2"/>
        <charset val="136"/>
      </rPr>
      <t>組首名直入八強，</t>
    </r>
    <r>
      <rPr>
        <sz val="12"/>
        <color rgb="FF000000"/>
        <rFont val="Calibri"/>
        <family val="2"/>
        <charset val="1"/>
      </rPr>
      <t>E, F</t>
    </r>
    <r>
      <rPr>
        <sz val="12"/>
        <color rgb="FF000000"/>
        <rFont val="微軟正黑體"/>
        <family val="2"/>
        <charset val="136"/>
      </rPr>
      <t>組首名及</t>
    </r>
    <r>
      <rPr>
        <sz val="12"/>
        <color rgb="FF000000"/>
        <rFont val="Calibri"/>
        <family val="2"/>
        <charset val="1"/>
      </rPr>
      <t>A-F</t>
    </r>
    <r>
      <rPr>
        <sz val="12"/>
        <color rgb="FF000000"/>
        <rFont val="微軟正黑體"/>
        <family val="2"/>
        <charset val="136"/>
      </rPr>
      <t>次名抽籤進入</t>
    </r>
    <r>
      <rPr>
        <sz val="12"/>
        <color rgb="FF000000"/>
        <rFont val="Calibri"/>
        <family val="2"/>
        <charset val="1"/>
      </rPr>
      <t>12</t>
    </r>
    <r>
      <rPr>
        <sz val="12"/>
        <color rgb="FF000000"/>
        <rFont val="微軟正黑體"/>
        <family val="2"/>
        <charset val="136"/>
      </rPr>
      <t>強</t>
    </r>
  </si>
  <si>
    <r>
      <rPr>
        <sz val="12"/>
        <rFont val="微軟正黑體"/>
        <family val="2"/>
        <charset val="136"/>
      </rPr>
      <t>第三名為</t>
    </r>
    <r>
      <rPr>
        <sz val="12"/>
        <rFont val="Calibri"/>
        <family val="2"/>
        <charset val="1"/>
      </rPr>
      <t>13</t>
    </r>
    <r>
      <rPr>
        <sz val="12"/>
        <rFont val="微軟正黑體"/>
        <family val="2"/>
        <charset val="136"/>
      </rPr>
      <t>名次得</t>
    </r>
    <r>
      <rPr>
        <sz val="12"/>
        <rFont val="Calibri"/>
        <family val="2"/>
        <charset val="1"/>
      </rPr>
      <t>48</t>
    </r>
    <r>
      <rPr>
        <sz val="12"/>
        <rFont val="微軟正黑體"/>
        <family val="2"/>
        <charset val="136"/>
      </rPr>
      <t>種子分。第四名為名次</t>
    </r>
    <r>
      <rPr>
        <sz val="12"/>
        <rFont val="Calibri"/>
        <family val="2"/>
        <charset val="1"/>
      </rPr>
      <t>18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  <charset val="1"/>
      </rPr>
      <t>36</t>
    </r>
    <r>
      <rPr>
        <sz val="12"/>
        <rFont val="微軟正黑體"/>
        <family val="2"/>
        <charset val="136"/>
      </rPr>
      <t>種子分。</t>
    </r>
  </si>
  <si>
    <r>
      <rPr>
        <sz val="12"/>
        <color rgb="FF000000"/>
        <rFont val="Calibri"/>
        <family val="2"/>
        <charset val="1"/>
      </rPr>
      <t>b.      12</t>
    </r>
    <r>
      <rPr>
        <sz val="12"/>
        <color rgb="FF000000"/>
        <rFont val="微軟正黑體"/>
        <family val="2"/>
        <charset val="136"/>
      </rPr>
      <t>隊進行淘汰賽，賽出</t>
    </r>
    <r>
      <rPr>
        <sz val="12"/>
        <color rgb="FF000000"/>
        <rFont val="Calibri"/>
        <family val="2"/>
        <charset val="1"/>
      </rPr>
      <t>1</t>
    </r>
    <r>
      <rPr>
        <sz val="12"/>
        <color rgb="FF000000"/>
        <rFont val="微軟正黑體"/>
        <family val="2"/>
        <charset val="136"/>
      </rPr>
      <t>至</t>
    </r>
    <r>
      <rPr>
        <sz val="12"/>
        <color rgb="FF000000"/>
        <rFont val="Calibri"/>
        <family val="2"/>
        <charset val="1"/>
      </rPr>
      <t>9</t>
    </r>
    <r>
      <rPr>
        <sz val="12"/>
        <color rgb="FF000000"/>
        <rFont val="微軟正黑體"/>
        <family val="2"/>
        <charset val="136"/>
      </rPr>
      <t>名次。</t>
    </r>
  </si>
  <si>
    <t>WB5</t>
  </si>
  <si>
    <t>BOTH TEAM NO SHOW</t>
  </si>
  <si>
    <t>WB1</t>
  </si>
  <si>
    <t>WB9</t>
  </si>
  <si>
    <t>WB6</t>
  </si>
  <si>
    <t>WB2</t>
  </si>
  <si>
    <t>WB12</t>
  </si>
  <si>
    <t>20:22, 20:22</t>
  </si>
  <si>
    <t>WB7</t>
  </si>
  <si>
    <t>WB3</t>
  </si>
  <si>
    <t>21:7, 21:15</t>
  </si>
  <si>
    <t>WB10</t>
  </si>
  <si>
    <t>16:21, 21:17, 17:15</t>
  </si>
  <si>
    <t>WB8</t>
  </si>
  <si>
    <t>Limit NO SHOW</t>
  </si>
  <si>
    <t>WB11</t>
  </si>
  <si>
    <t>WB4</t>
  </si>
  <si>
    <t>21:19, 21:14</t>
  </si>
  <si>
    <r>
      <rPr>
        <u/>
        <sz val="12"/>
        <color rgb="FF000000"/>
        <rFont val="Calibri"/>
        <family val="2"/>
        <charset val="1"/>
      </rPr>
      <t>1</t>
    </r>
    <r>
      <rPr>
        <u/>
        <vertAlign val="superscript"/>
        <sz val="12"/>
        <color rgb="FF000000"/>
        <rFont val="Calibri"/>
        <family val="2"/>
        <charset val="1"/>
      </rPr>
      <t>st</t>
    </r>
  </si>
  <si>
    <r>
      <rPr>
        <u/>
        <sz val="12"/>
        <color rgb="FF000000"/>
        <rFont val="Calibri"/>
        <family val="2"/>
        <charset val="1"/>
      </rPr>
      <t>2</t>
    </r>
    <r>
      <rPr>
        <u/>
        <vertAlign val="superscript"/>
        <sz val="12"/>
        <color rgb="FF000000"/>
        <rFont val="Calibri"/>
        <family val="2"/>
        <charset val="1"/>
      </rPr>
      <t>nd</t>
    </r>
  </si>
  <si>
    <r>
      <rPr>
        <u/>
        <sz val="12"/>
        <color rgb="FF000000"/>
        <rFont val="Calibri"/>
        <family val="2"/>
        <charset val="1"/>
      </rPr>
      <t>3</t>
    </r>
    <r>
      <rPr>
        <u/>
        <vertAlign val="superscript"/>
        <sz val="12"/>
        <color rgb="FF000000"/>
        <rFont val="Calibri"/>
        <family val="2"/>
        <charset val="1"/>
      </rPr>
      <t>rd</t>
    </r>
  </si>
  <si>
    <r>
      <rPr>
        <u/>
        <sz val="12"/>
        <color rgb="FF000000"/>
        <rFont val="Calibri"/>
        <family val="2"/>
        <charset val="1"/>
      </rPr>
      <t>4</t>
    </r>
    <r>
      <rPr>
        <u/>
        <vertAlign val="superscript"/>
        <sz val="12"/>
        <color rgb="FF000000"/>
        <rFont val="Calibri"/>
        <family val="2"/>
        <charset val="1"/>
      </rPr>
      <t>th</t>
    </r>
  </si>
  <si>
    <r>
      <rPr>
        <u/>
        <sz val="12"/>
        <color rgb="FF000000"/>
        <rFont val="Calibri"/>
        <family val="2"/>
        <charset val="1"/>
      </rPr>
      <t>5</t>
    </r>
    <r>
      <rPr>
        <u/>
        <vertAlign val="superscript"/>
        <sz val="12"/>
        <color rgb="FF000000"/>
        <rFont val="Calibri"/>
        <family val="2"/>
        <charset val="1"/>
      </rPr>
      <t>th</t>
    </r>
  </si>
  <si>
    <r>
      <rPr>
        <u/>
        <sz val="12"/>
        <color rgb="FF000000"/>
        <rFont val="Calibri"/>
        <family val="2"/>
        <charset val="1"/>
      </rPr>
      <t>9</t>
    </r>
    <r>
      <rPr>
        <u/>
        <vertAlign val="superscript"/>
        <sz val="12"/>
        <color rgb="FF000000"/>
        <rFont val="Calibri"/>
        <family val="2"/>
        <charset val="1"/>
      </rPr>
      <t>th</t>
    </r>
  </si>
  <si>
    <t>Playing Schedule (Women's Division II)</t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</si>
  <si>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新細明體"/>
        <family val="1"/>
        <charset val="136"/>
      </rPr>
      <t xml:space="preserve"> </t>
    </r>
    <r>
      <rPr>
        <b/>
        <sz val="12"/>
        <rFont val="Calibri"/>
        <family val="2"/>
        <charset val="1"/>
      </rPr>
      <t>(</t>
    </r>
    <r>
      <rPr>
        <b/>
        <sz val="12"/>
        <rFont val="微軟正黑體"/>
        <family val="2"/>
        <charset val="136"/>
      </rPr>
      <t>女子乙組</t>
    </r>
    <r>
      <rPr>
        <b/>
        <sz val="12"/>
        <rFont val="Calibri"/>
        <family val="2"/>
        <charset val="1"/>
      </rPr>
      <t>)</t>
    </r>
  </si>
  <si>
    <t>panda NO SHOW</t>
  </si>
  <si>
    <t>16:21, 8:21</t>
  </si>
  <si>
    <t>21:14, 23:21</t>
  </si>
  <si>
    <t>21:11, 17:21</t>
  </si>
  <si>
    <t>15:21, 21:11</t>
  </si>
  <si>
    <t>21:14, 21:9</t>
  </si>
  <si>
    <t>21:9, 11:21</t>
  </si>
  <si>
    <t>BUTTERFLY S</t>
  </si>
  <si>
    <t>YSYL NO SHOW</t>
  </si>
  <si>
    <t>LAM&amp;ZOE NO SHOW</t>
  </si>
  <si>
    <t>J&amp;M NO SHOW</t>
  </si>
  <si>
    <t>21:7, 21:17</t>
  </si>
  <si>
    <r>
      <rPr>
        <sz val="12"/>
        <rFont val="微軟正黑體"/>
        <family val="2"/>
        <charset val="136"/>
      </rPr>
      <t>求奇</t>
    </r>
    <r>
      <rPr>
        <sz val="12"/>
        <rFont val="Microsoft YaHei"/>
        <family val="2"/>
        <charset val="136"/>
      </rPr>
      <t xml:space="preserve"> </t>
    </r>
    <r>
      <rPr>
        <sz val="12"/>
        <rFont val="Calibri"/>
        <family val="2"/>
        <charset val="1"/>
      </rPr>
      <t>NO SHOW</t>
    </r>
  </si>
  <si>
    <t>CKYK NO SHOW</t>
  </si>
  <si>
    <t>21:17, 21:23</t>
  </si>
  <si>
    <r>
      <rPr>
        <b/>
        <sz val="12"/>
        <rFont val="微軟正黑體"/>
        <family val="2"/>
        <charset val="136"/>
      </rPr>
      <t>香港沙灘排球巡迴賽</t>
    </r>
    <r>
      <rPr>
        <b/>
        <sz val="12"/>
        <rFont val="Microsoft YaHei"/>
        <family val="2"/>
        <charset val="136"/>
      </rPr>
      <t xml:space="preserve"> </t>
    </r>
    <r>
      <rPr>
        <b/>
        <sz val="12"/>
        <rFont val="Calibri"/>
        <family val="2"/>
        <charset val="1"/>
      </rPr>
      <t xml:space="preserve">2019 </t>
    </r>
    <r>
      <rPr>
        <b/>
        <sz val="12"/>
        <rFont val="微軟正黑體"/>
        <family val="2"/>
        <charset val="136"/>
      </rPr>
      <t>黃金</t>
    </r>
    <r>
      <rPr>
        <b/>
        <sz val="12"/>
        <rFont val="Calibri"/>
        <family val="2"/>
        <charset val="1"/>
      </rPr>
      <t>(</t>
    </r>
    <r>
      <rPr>
        <b/>
        <sz val="12"/>
        <rFont val="微軟正黑體"/>
        <family val="2"/>
        <charset val="136"/>
      </rPr>
      <t>一</t>
    </r>
    <r>
      <rPr>
        <b/>
        <sz val="12"/>
        <rFont val="Calibri"/>
        <family val="2"/>
        <charset val="1"/>
      </rPr>
      <t xml:space="preserve">) </t>
    </r>
    <r>
      <rPr>
        <b/>
        <sz val="12"/>
        <rFont val="微軟正黑體"/>
        <family val="2"/>
        <charset val="136"/>
      </rPr>
      <t>站</t>
    </r>
  </si>
  <si>
    <t>Hong Kong Beach Volleyball Tour GC(1) Time-table</t>
  </si>
  <si>
    <t>The Playing Schedule MAY BE affected by the progression of previous match days</t>
  </si>
  <si>
    <t>賽程可能被上周未能完成的賽事之進度影響</t>
  </si>
  <si>
    <r>
      <rPr>
        <b/>
        <u/>
        <sz val="12"/>
        <rFont val="Calibri"/>
        <family val="2"/>
        <charset val="1"/>
      </rPr>
      <t xml:space="preserve">2019/05/11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</si>
  <si>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2019/05/12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</si>
  <si>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1st digit</t>
  </si>
  <si>
    <r>
      <rPr>
        <sz val="12"/>
        <color rgb="FF000000"/>
        <rFont val="Calibri"/>
        <family val="2"/>
        <charset val="1"/>
      </rPr>
      <t xml:space="preserve">M -Men </t>
    </r>
    <r>
      <rPr>
        <sz val="12"/>
        <color rgb="FF000000"/>
        <rFont val="微軟正黑體"/>
        <family val="2"/>
        <charset val="136"/>
      </rPr>
      <t>男</t>
    </r>
  </si>
  <si>
    <r>
      <rPr>
        <sz val="12"/>
        <color rgb="FF000000"/>
        <rFont val="Calibri"/>
        <family val="2"/>
        <charset val="1"/>
      </rPr>
      <t>W-Women</t>
    </r>
    <r>
      <rPr>
        <sz val="12"/>
        <color rgb="FF000000"/>
        <rFont val="微軟正黑體"/>
        <family val="2"/>
        <charset val="136"/>
      </rPr>
      <t>女</t>
    </r>
  </si>
  <si>
    <t>Starting Time</t>
  </si>
  <si>
    <t>Serial No.</t>
  </si>
  <si>
    <r>
      <rPr>
        <sz val="12"/>
        <color rgb="FF000000"/>
        <rFont val="Calibri"/>
        <family val="2"/>
        <charset val="1"/>
      </rPr>
      <t xml:space="preserve">COURT </t>
    </r>
    <r>
      <rPr>
        <sz val="12"/>
        <color rgb="FF000000"/>
        <rFont val="微軟正黑體"/>
        <family val="2"/>
        <charset val="136"/>
      </rPr>
      <t>球場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黃金海岸</t>
    </r>
    <r>
      <rPr>
        <sz val="12"/>
        <color rgb="FF000000"/>
        <rFont val="Calibri"/>
        <family val="2"/>
        <charset val="1"/>
      </rPr>
      <t>(</t>
    </r>
    <r>
      <rPr>
        <sz val="12"/>
        <color rgb="FF000000"/>
        <rFont val="微軟正黑體"/>
        <family val="2"/>
        <charset val="136"/>
      </rPr>
      <t>新咖啡灣</t>
    </r>
    <r>
      <rPr>
        <sz val="12"/>
        <color rgb="FF000000"/>
        <rFont val="Calibri"/>
        <family val="2"/>
        <charset val="1"/>
      </rPr>
      <t>)</t>
    </r>
    <r>
      <rPr>
        <sz val="12"/>
        <color rgb="FF000000"/>
        <rFont val="微軟正黑體"/>
        <family val="2"/>
        <charset val="136"/>
      </rPr>
      <t>泳灘</t>
    </r>
  </si>
  <si>
    <t>2nd digit</t>
  </si>
  <si>
    <t>組別</t>
  </si>
  <si>
    <t>Division</t>
  </si>
  <si>
    <t>開始時間</t>
  </si>
  <si>
    <t>序號</t>
  </si>
  <si>
    <t>3rd digit</t>
  </si>
  <si>
    <t>Pool</t>
  </si>
  <si>
    <t>WBA3</t>
  </si>
  <si>
    <t>WBB3</t>
  </si>
  <si>
    <t>4th digit</t>
  </si>
  <si>
    <t>比賽編號</t>
  </si>
  <si>
    <t>WBC3</t>
  </si>
  <si>
    <t>WBD3</t>
  </si>
  <si>
    <t>WBA2</t>
  </si>
  <si>
    <t>WBB2</t>
  </si>
  <si>
    <t>WBC2</t>
  </si>
  <si>
    <t>WBD2</t>
  </si>
  <si>
    <t>WBA6</t>
  </si>
  <si>
    <t>WBB6</t>
  </si>
  <si>
    <t>WBC6</t>
  </si>
  <si>
    <t>WBD6</t>
  </si>
  <si>
    <t>LUNCH BREAK (T.B.C.)</t>
  </si>
  <si>
    <t>MBE1</t>
  </si>
  <si>
    <t>MBE2</t>
  </si>
  <si>
    <t>WBF1</t>
  </si>
  <si>
    <t>WBF2</t>
  </si>
  <si>
    <t>WBE3</t>
  </si>
  <si>
    <t>MBE3</t>
  </si>
  <si>
    <t>MBE4</t>
  </si>
  <si>
    <t>WBF3</t>
  </si>
  <si>
    <t>WBF4</t>
  </si>
  <si>
    <t>WBE2</t>
  </si>
  <si>
    <t>MBE5</t>
  </si>
  <si>
    <t>MBE6</t>
  </si>
  <si>
    <t>WBF5</t>
  </si>
  <si>
    <t>WBF6</t>
  </si>
  <si>
    <t>WBE6</t>
  </si>
  <si>
    <r>
      <rPr>
        <b/>
        <u/>
        <sz val="12"/>
        <rFont val="Calibri"/>
        <family val="2"/>
        <charset val="1"/>
      </rPr>
      <t xml:space="preserve">2019/05/18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</si>
  <si>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2019/05/19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</si>
  <si>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color rgb="FF000000"/>
        <rFont val="Calibri"/>
        <family val="2"/>
        <charset val="1"/>
      </rPr>
      <t xml:space="preserve">COURT </t>
    </r>
    <r>
      <rPr>
        <sz val="12"/>
        <color rgb="FF000000"/>
        <rFont val="微軟正黑體"/>
        <family val="2"/>
        <charset val="136"/>
      </rPr>
      <t>球場</t>
    </r>
    <r>
      <rPr>
        <sz val="12"/>
        <color rgb="FF000000"/>
        <rFont val="新細明體"/>
        <family val="1"/>
        <charset val="136"/>
      </rPr>
      <t xml:space="preserve"> </t>
    </r>
    <r>
      <rPr>
        <sz val="12"/>
        <color rgb="FF000000"/>
        <rFont val="微軟正黑體"/>
        <family val="2"/>
        <charset val="136"/>
      </rPr>
      <t>天業路人造沙灘排球場</t>
    </r>
  </si>
  <si>
    <t>MBC1</t>
  </si>
  <si>
    <t>MBC2</t>
  </si>
  <si>
    <t>MBH1</t>
  </si>
  <si>
    <t>MBH2</t>
  </si>
  <si>
    <t>MBC3</t>
  </si>
  <si>
    <t>MBC4</t>
  </si>
  <si>
    <t>MBG1</t>
  </si>
  <si>
    <t>MBH3</t>
  </si>
  <si>
    <t>MBG2</t>
  </si>
  <si>
    <t>MBH4</t>
  </si>
  <si>
    <t>MBG3</t>
  </si>
  <si>
    <t>MBC5</t>
  </si>
  <si>
    <t>MBG4</t>
  </si>
  <si>
    <t>MBC6</t>
  </si>
  <si>
    <t>MBG5</t>
  </si>
  <si>
    <t>MBH5</t>
  </si>
  <si>
    <t>MBG6</t>
  </si>
  <si>
    <t>MBH6</t>
  </si>
  <si>
    <r>
      <rPr>
        <b/>
        <u/>
        <sz val="12"/>
        <rFont val="Calibri"/>
        <family val="2"/>
        <charset val="1"/>
      </rPr>
      <t xml:space="preserve">2019/05/25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</si>
  <si>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2019/05/26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</si>
  <si>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MAA1</t>
  </si>
  <si>
    <t>MAA2</t>
  </si>
  <si>
    <t>MAA3</t>
  </si>
  <si>
    <t>MAA4</t>
  </si>
  <si>
    <t>MAA5</t>
  </si>
  <si>
    <t>WAA1</t>
  </si>
  <si>
    <t>MAA6</t>
  </si>
  <si>
    <t>WAA17</t>
  </si>
  <si>
    <t>MAA7</t>
  </si>
  <si>
    <t>WAA3</t>
  </si>
  <si>
    <t>MAA8</t>
  </si>
  <si>
    <t>WAA4</t>
  </si>
  <si>
    <r>
      <rPr>
        <b/>
        <u/>
        <sz val="12"/>
        <rFont val="Calibri"/>
        <family val="2"/>
        <charset val="1"/>
      </rPr>
      <t xml:space="preserve">2019/06/01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</si>
  <si>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2019/06/02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</si>
  <si>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MAA9</t>
  </si>
  <si>
    <t>MAA10</t>
  </si>
  <si>
    <t>MAA11</t>
  </si>
  <si>
    <t>MAA12</t>
  </si>
  <si>
    <t>MAA13</t>
  </si>
  <si>
    <t>MBA1</t>
  </si>
  <si>
    <t>MBA2</t>
  </si>
  <si>
    <t>MAA14</t>
  </si>
  <si>
    <t>MBB1</t>
  </si>
  <si>
    <t>MBB2</t>
  </si>
  <si>
    <t>MAA15</t>
  </si>
  <si>
    <t>MBA3</t>
  </si>
  <si>
    <t>MBA4</t>
  </si>
  <si>
    <t>MAA16</t>
  </si>
  <si>
    <t>MBB3</t>
  </si>
  <si>
    <t>MBB4</t>
  </si>
  <si>
    <t>MBA5</t>
  </si>
  <si>
    <t>MBA6</t>
  </si>
  <si>
    <t>MBB5</t>
  </si>
  <si>
    <t>MBB6</t>
  </si>
  <si>
    <r>
      <rPr>
        <b/>
        <u/>
        <sz val="12"/>
        <rFont val="Calibri"/>
        <family val="2"/>
        <charset val="1"/>
      </rPr>
      <t xml:space="preserve">2019/06/08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</si>
  <si>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2019/06/09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</si>
  <si>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MAA17</t>
  </si>
  <si>
    <t>MAA18</t>
  </si>
  <si>
    <t>MAA19</t>
  </si>
  <si>
    <t>MAA20</t>
  </si>
  <si>
    <t>MAA21</t>
  </si>
  <si>
    <t>WAA5</t>
  </si>
  <si>
    <t>WAA6</t>
  </si>
  <si>
    <t>MAA22</t>
  </si>
  <si>
    <t>WAA7</t>
  </si>
  <si>
    <t>WAA8</t>
  </si>
  <si>
    <t>MAA23</t>
  </si>
  <si>
    <t>WAA9</t>
  </si>
  <si>
    <t>WAA10</t>
  </si>
  <si>
    <t>MAA24</t>
  </si>
  <si>
    <t>WAA11</t>
  </si>
  <si>
    <t>WAA12</t>
  </si>
  <si>
    <r>
      <rPr>
        <b/>
        <u/>
        <sz val="12"/>
        <rFont val="Calibri"/>
        <family val="2"/>
        <charset val="1"/>
      </rPr>
      <t xml:space="preserve">2019/06/15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</si>
  <si>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2019/06/16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</si>
  <si>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MBD1</t>
  </si>
  <si>
    <t>MBD2</t>
  </si>
  <si>
    <t>MBF1</t>
  </si>
  <si>
    <t>MBF2</t>
  </si>
  <si>
    <t>MBD3</t>
  </si>
  <si>
    <t>MBD4</t>
  </si>
  <si>
    <t>MBF3</t>
  </si>
  <si>
    <t>MBF4</t>
  </si>
  <si>
    <t>MBD5</t>
  </si>
  <si>
    <t>MBD6</t>
  </si>
  <si>
    <t>MBF5</t>
  </si>
  <si>
    <t>MBF6</t>
  </si>
  <si>
    <r>
      <rPr>
        <b/>
        <u/>
        <sz val="12"/>
        <rFont val="Calibri"/>
        <family val="2"/>
        <charset val="1"/>
      </rPr>
      <t xml:space="preserve">2019/06/22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</si>
  <si>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2019/06/23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</si>
  <si>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沒有賽事</t>
  </si>
  <si>
    <r>
      <rPr>
        <b/>
        <u/>
        <sz val="12"/>
        <rFont val="Calibri"/>
        <family val="2"/>
        <charset val="1"/>
      </rPr>
      <t xml:space="preserve">2019/06/29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</si>
  <si>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2019/06/30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</si>
  <si>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黃金(一)站賽事</t>
  </si>
  <si>
    <t>黃金(二)站賽事</t>
  </si>
  <si>
    <r>
      <rPr>
        <b/>
        <u/>
        <sz val="12"/>
        <rFont val="Calibri"/>
        <family val="2"/>
        <charset val="1"/>
      </rPr>
      <t xml:space="preserve">2019/07/06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</si>
  <si>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2019/07/07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</si>
  <si>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2019/07/13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</si>
  <si>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2019/07/14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</si>
  <si>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MAA25</t>
  </si>
  <si>
    <t>MAA26</t>
  </si>
  <si>
    <t>MAA27</t>
  </si>
  <si>
    <t>MAA28</t>
  </si>
  <si>
    <r>
      <rPr>
        <b/>
        <u/>
        <sz val="12"/>
        <rFont val="Calibri"/>
        <family val="2"/>
        <charset val="1"/>
      </rPr>
      <t xml:space="preserve">2019/07/20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</si>
  <si>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2019/07/21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</si>
  <si>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WBD1</t>
  </si>
  <si>
    <t>WBD4</t>
  </si>
  <si>
    <t>WBD5</t>
  </si>
  <si>
    <r>
      <rPr>
        <b/>
        <u/>
        <sz val="12"/>
        <rFont val="Calibri"/>
        <family val="2"/>
        <charset val="1"/>
      </rPr>
      <t xml:space="preserve">2019/07/27 (Saturday </t>
    </r>
    <r>
      <rPr>
        <b/>
        <u/>
        <sz val="12"/>
        <rFont val="Microsoft Ya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</si>
  <si>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2019/07/28 (Sunday </t>
    </r>
    <r>
      <rPr>
        <b/>
        <u/>
        <sz val="12"/>
        <rFont val="Microsoft Ya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</si>
  <si>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1"/>
        <color rgb="FF000000"/>
        <rFont val="Calibri"/>
        <family val="2"/>
        <charset val="1"/>
      </rPr>
      <t xml:space="preserve">M -Men </t>
    </r>
    <r>
      <rPr>
        <sz val="11"/>
        <color rgb="FF000000"/>
        <rFont val="微軟正黑體"/>
        <family val="2"/>
        <charset val="136"/>
      </rPr>
      <t>男</t>
    </r>
  </si>
  <si>
    <r>
      <rPr>
        <sz val="11"/>
        <color rgb="FF000000"/>
        <rFont val="Calibri"/>
        <family val="2"/>
        <charset val="1"/>
      </rPr>
      <t>W-Women</t>
    </r>
    <r>
      <rPr>
        <sz val="11"/>
        <color rgb="FF000000"/>
        <rFont val="微軟正黑體"/>
        <family val="2"/>
        <charset val="136"/>
      </rPr>
      <t>女</t>
    </r>
  </si>
  <si>
    <r>
      <rPr>
        <b/>
        <u/>
        <sz val="12"/>
        <rFont val="Calibri"/>
        <family val="2"/>
        <charset val="1"/>
      </rPr>
      <t xml:space="preserve">2019/08/03 (Saturday </t>
    </r>
    <r>
      <rPr>
        <b/>
        <u/>
        <sz val="12"/>
        <rFont val="Microsoft Ya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</si>
  <si>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2019/08/04 (Sunday </t>
    </r>
    <r>
      <rPr>
        <b/>
        <u/>
        <sz val="12"/>
        <rFont val="Microsoft Ya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</si>
  <si>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WAA13</t>
  </si>
  <si>
    <t>WAA14</t>
  </si>
  <si>
    <t>WAA21</t>
  </si>
  <si>
    <t>WAA22</t>
  </si>
  <si>
    <t>WAA15</t>
  </si>
  <si>
    <t>WAA16</t>
  </si>
  <si>
    <t>WAA23</t>
  </si>
  <si>
    <t>WAA24</t>
  </si>
  <si>
    <t>WAA2</t>
  </si>
  <si>
    <t>WAA18</t>
  </si>
  <si>
    <t>WAA25</t>
  </si>
  <si>
    <t>WAA26</t>
  </si>
  <si>
    <t>WAA19</t>
  </si>
  <si>
    <t>WAA20</t>
  </si>
  <si>
    <t>WAA27</t>
  </si>
  <si>
    <t>WAA28</t>
  </si>
  <si>
    <t xml:space="preserve">  </t>
  </si>
  <si>
    <r>
      <rPr>
        <b/>
        <u/>
        <sz val="12"/>
        <rFont val="Calibri"/>
        <family val="2"/>
        <charset val="1"/>
      </rPr>
      <t xml:space="preserve">2019/08/10 (Saturday </t>
    </r>
    <r>
      <rPr>
        <b/>
        <u/>
        <sz val="12"/>
        <rFont val="Microsoft Ya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</si>
  <si>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2019/08/11 (Sunday </t>
    </r>
    <r>
      <rPr>
        <b/>
        <u/>
        <sz val="12"/>
        <rFont val="Microsoft Ya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</si>
  <si>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2019/08/17 (Saturday </t>
    </r>
    <r>
      <rPr>
        <b/>
        <u/>
        <sz val="12"/>
        <rFont val="細明體"/>
        <family val="3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</si>
  <si>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2019/08/18 (Sunday </t>
    </r>
    <r>
      <rPr>
        <b/>
        <u/>
        <sz val="12"/>
        <rFont val="細明體"/>
        <family val="3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</si>
  <si>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2019/08/31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</si>
  <si>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2019/09/01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</si>
  <si>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color rgb="FF000000"/>
        <rFont val="Calibri"/>
        <family val="2"/>
        <charset val="1"/>
      </rPr>
      <t xml:space="preserve">M -Men </t>
    </r>
    <r>
      <rPr>
        <sz val="12"/>
        <rFont val="Microsoft JhengHei"/>
        <family val="2"/>
        <charset val="136"/>
      </rPr>
      <t>男</t>
    </r>
  </si>
  <si>
    <r>
      <rPr>
        <sz val="12"/>
        <color rgb="FF000000"/>
        <rFont val="Calibri"/>
        <family val="2"/>
        <charset val="1"/>
      </rPr>
      <t>W-Women</t>
    </r>
    <r>
      <rPr>
        <sz val="12"/>
        <rFont val="Microsoft JhengHei"/>
        <family val="2"/>
        <charset val="136"/>
      </rPr>
      <t>女</t>
    </r>
  </si>
  <si>
    <r>
      <rPr>
        <sz val="12"/>
        <rFont val="Calibri"/>
        <family val="2"/>
        <charset val="1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</si>
  <si>
    <r>
      <rPr>
        <b/>
        <u/>
        <sz val="12"/>
        <rFont val="Calibri"/>
        <family val="2"/>
        <charset val="1"/>
      </rPr>
      <t xml:space="preserve">2019/08/24 (Saturday </t>
    </r>
    <r>
      <rPr>
        <b/>
        <u/>
        <sz val="12"/>
        <rFont val="Microsoft Ya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</si>
  <si>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2019/08/25 (Sunday </t>
    </r>
    <r>
      <rPr>
        <b/>
        <u/>
        <sz val="12"/>
        <rFont val="Microsoft Ya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</si>
  <si>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t>青少盃賽事</t>
  </si>
  <si>
    <r>
      <rPr>
        <b/>
        <u/>
        <sz val="12"/>
        <rFont val="Calibri"/>
        <family val="2"/>
        <charset val="1"/>
      </rPr>
      <t xml:space="preserve">2019/09/07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</si>
  <si>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2019/09/08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</si>
  <si>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72"/>
        <rFont val="Calibri"/>
        <family val="2"/>
        <charset val="1"/>
      </rPr>
      <t xml:space="preserve">COURT </t>
    </r>
    <r>
      <rPr>
        <sz val="72"/>
        <rFont val="Microsoft JhengHei"/>
        <family val="2"/>
        <charset val="136"/>
      </rPr>
      <t>球場</t>
    </r>
    <r>
      <rPr>
        <sz val="72"/>
        <rFont val="Microsoft YaHei"/>
        <family val="2"/>
        <charset val="136"/>
      </rPr>
      <t xml:space="preserve"> </t>
    </r>
    <r>
      <rPr>
        <sz val="72"/>
        <rFont val="Microsoft JhengHei"/>
        <family val="2"/>
        <charset val="136"/>
      </rPr>
      <t>黃金海岸</t>
    </r>
    <r>
      <rPr>
        <sz val="72"/>
        <rFont val="Calibri"/>
        <family val="2"/>
        <charset val="1"/>
      </rPr>
      <t>(</t>
    </r>
    <r>
      <rPr>
        <sz val="72"/>
        <rFont val="Microsoft JhengHei"/>
        <family val="2"/>
        <charset val="136"/>
      </rPr>
      <t>新咖啡灣</t>
    </r>
    <r>
      <rPr>
        <sz val="72"/>
        <rFont val="Calibri"/>
        <family val="2"/>
        <charset val="1"/>
      </rPr>
      <t>)</t>
    </r>
    <r>
      <rPr>
        <sz val="72"/>
        <rFont val="Microsoft JhengHei"/>
        <family val="2"/>
        <charset val="136"/>
      </rPr>
      <t>泳灘</t>
    </r>
  </si>
  <si>
    <r>
      <rPr>
        <b/>
        <u/>
        <sz val="12"/>
        <rFont val="Calibri"/>
        <family val="2"/>
        <charset val="1"/>
      </rPr>
      <t xml:space="preserve">2019/09/14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</si>
  <si>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2019/09/15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</si>
  <si>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sz val="12"/>
        <rFont val="Microsoft JhengHei"/>
        <family val="2"/>
        <charset val="136"/>
      </rPr>
      <t>黃金</t>
    </r>
    <r>
      <rPr>
        <b/>
        <sz val="12"/>
        <rFont val="Calibri"/>
        <family val="2"/>
        <charset val="1"/>
      </rPr>
      <t>(</t>
    </r>
    <r>
      <rPr>
        <b/>
        <sz val="12"/>
        <rFont val="Microsoft JhengHei"/>
        <family val="2"/>
        <charset val="136"/>
      </rPr>
      <t>一</t>
    </r>
    <r>
      <rPr>
        <b/>
        <sz val="12"/>
        <rFont val="Calibri"/>
        <family val="2"/>
        <charset val="1"/>
      </rPr>
      <t>)</t>
    </r>
    <r>
      <rPr>
        <b/>
        <sz val="12"/>
        <rFont val="Microsoft JhengHei"/>
        <family val="2"/>
        <charset val="136"/>
      </rPr>
      <t>站賽事</t>
    </r>
  </si>
  <si>
    <r>
      <rPr>
        <b/>
        <sz val="12"/>
        <rFont val="Microsoft JhengHei"/>
        <family val="2"/>
        <charset val="136"/>
      </rPr>
      <t>黃金</t>
    </r>
    <r>
      <rPr>
        <b/>
        <sz val="12"/>
        <rFont val="Calibri"/>
        <family val="2"/>
        <charset val="1"/>
      </rPr>
      <t>(</t>
    </r>
    <r>
      <rPr>
        <b/>
        <sz val="12"/>
        <rFont val="Microsoft JhengHei"/>
        <family val="2"/>
        <charset val="136"/>
      </rPr>
      <t>二</t>
    </r>
    <r>
      <rPr>
        <b/>
        <sz val="12"/>
        <rFont val="Calibri"/>
        <family val="2"/>
        <charset val="1"/>
      </rPr>
      <t>)</t>
    </r>
    <r>
      <rPr>
        <b/>
        <sz val="12"/>
        <rFont val="Microsoft JhengHei"/>
        <family val="2"/>
        <charset val="136"/>
      </rPr>
      <t>站賽事</t>
    </r>
  </si>
  <si>
    <r>
      <rPr>
        <b/>
        <u/>
        <sz val="12"/>
        <rFont val="Calibri"/>
        <family val="2"/>
        <charset val="1"/>
      </rPr>
      <t xml:space="preserve">2019/09/21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</si>
  <si>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2019/09/22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</si>
  <si>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2019/09/28 (Saturday </t>
    </r>
    <r>
      <rPr>
        <b/>
        <u/>
        <sz val="12"/>
        <rFont val="Microsoft JhengHei"/>
        <family val="2"/>
        <charset val="136"/>
      </rPr>
      <t>星期六</t>
    </r>
    <r>
      <rPr>
        <b/>
        <u/>
        <sz val="12"/>
        <rFont val="Calibri"/>
        <family val="2"/>
        <charset val="1"/>
      </rPr>
      <t>)</t>
    </r>
  </si>
  <si>
    <r>
      <rPr>
        <b/>
        <u/>
        <sz val="12"/>
        <rFont val="Calibri"/>
        <family val="2"/>
        <charset val="1"/>
      </rPr>
      <t xml:space="preserve">2019/09/29 (Sunday </t>
    </r>
    <r>
      <rPr>
        <b/>
        <u/>
        <sz val="12"/>
        <rFont val="Microsoft JhengHei"/>
        <family val="2"/>
        <charset val="136"/>
      </rPr>
      <t>星期日</t>
    </r>
    <r>
      <rPr>
        <b/>
        <u/>
        <sz val="12"/>
        <rFont val="Calibri"/>
        <family val="2"/>
        <charset val="1"/>
      </rPr>
      <t>)</t>
    </r>
  </si>
  <si>
    <r>
      <rPr>
        <sz val="12"/>
        <rFont val="Calibri"/>
        <family val="2"/>
        <charset val="1"/>
      </rP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新細明體"/>
        <family val="1"/>
        <charset val="136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  <charset val="1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  <charset val="1"/>
      </rPr>
      <t>)</t>
    </r>
    <r>
      <rPr>
        <sz val="12"/>
        <rFont val="Microsoft JhengHei"/>
        <family val="2"/>
        <charset val="136"/>
      </rPr>
      <t>泳灘</t>
    </r>
    <r>
      <rPr>
        <sz val="12"/>
        <rFont val="新細明體"/>
        <family val="1"/>
        <charset val="136"/>
      </rPr>
      <t xml:space="preserve"> </t>
    </r>
    <r>
      <rPr>
        <sz val="12"/>
        <rFont val="Calibri"/>
        <family val="2"/>
        <charset val="1"/>
      </rPr>
      <t xml:space="preserve">/ </t>
    </r>
    <r>
      <rPr>
        <sz val="12"/>
        <rFont val="Microsoft JhengHei"/>
        <family val="2"/>
        <charset val="136"/>
      </rPr>
      <t>天業路</t>
    </r>
  </si>
  <si>
    <r>
      <rPr>
        <sz val="12"/>
        <rFont val="Microsoft JhengHei"/>
        <family val="2"/>
        <charset val="136"/>
      </rPr>
      <t>黃金二乙組</t>
    </r>
    <r>
      <rPr>
        <sz val="12"/>
        <rFont val="Calibri"/>
        <family val="2"/>
        <charset val="1"/>
      </rPr>
      <t>Final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</si>
</sst>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/m;@"/>
    <numFmt numFmtId="177" formatCode="0.00_ "/>
    <numFmt numFmtId="178" formatCode="h:mm"/>
  </numFmts>
  <fonts count="120">
    <font>
      <sz val="12"/>
      <name val="Microsoft YaHei"/>
      <family val="2"/>
      <charset val="136"/>
    </font>
    <font>
      <sz val="12"/>
      <color rgb="FF000000"/>
      <name val="????"/>
      <family val="1"/>
      <charset val="1"/>
    </font>
    <font>
      <sz val="12"/>
      <color rgb="FF800080"/>
      <name val="????"/>
      <family val="1"/>
      <charset val="1"/>
    </font>
    <font>
      <sz val="12"/>
      <color rgb="FF008000"/>
      <name val="????"/>
      <family val="1"/>
      <charset val="1"/>
    </font>
    <font>
      <sz val="12"/>
      <color rgb="FF993300"/>
      <name val="????"/>
      <family val="1"/>
      <charset val="1"/>
    </font>
    <font>
      <sz val="12"/>
      <name val="????"/>
      <family val="1"/>
      <charset val="136"/>
    </font>
    <font>
      <b/>
      <sz val="15"/>
      <color rgb="FF003366"/>
      <name val="????"/>
      <family val="1"/>
      <charset val="1"/>
    </font>
    <font>
      <sz val="10"/>
      <color rgb="FF000000"/>
      <name val="Arial"/>
      <family val="2"/>
      <charset val="1"/>
    </font>
    <font>
      <b/>
      <sz val="13"/>
      <color rgb="FF003366"/>
      <name val="????"/>
      <family val="1"/>
      <charset val="1"/>
    </font>
    <font>
      <b/>
      <sz val="11"/>
      <color rgb="FF003366"/>
      <name val="????"/>
      <family val="1"/>
      <charset val="1"/>
    </font>
    <font>
      <sz val="18"/>
      <color rgb="FF003366"/>
      <name val="????"/>
      <family val="1"/>
      <charset val="1"/>
    </font>
    <font>
      <b/>
      <sz val="12"/>
      <color rgb="FF000000"/>
      <name val="????"/>
      <family val="1"/>
      <charset val="1"/>
    </font>
    <font>
      <sz val="12"/>
      <color rgb="FF333399"/>
      <name val="????"/>
      <family val="1"/>
      <charset val="1"/>
    </font>
    <font>
      <b/>
      <sz val="12"/>
      <color rgb="FF333333"/>
      <name val="????"/>
      <family val="1"/>
      <charset val="1"/>
    </font>
    <font>
      <sz val="12"/>
      <color rgb="FFFFFFFF"/>
      <name val="????"/>
      <family val="1"/>
      <charset val="1"/>
    </font>
    <font>
      <b/>
      <sz val="12"/>
      <color rgb="FFFF9900"/>
      <name val="????"/>
      <family val="1"/>
      <charset val="1"/>
    </font>
    <font>
      <i/>
      <sz val="12"/>
      <color rgb="FF808080"/>
      <name val="????"/>
      <family val="1"/>
      <charset val="1"/>
    </font>
    <font>
      <sz val="12"/>
      <color rgb="FFFF0000"/>
      <name val="????"/>
      <family val="1"/>
      <charset val="1"/>
    </font>
    <font>
      <b/>
      <sz val="12"/>
      <color rgb="FFFFFFFF"/>
      <name val="????"/>
      <family val="1"/>
      <charset val="1"/>
    </font>
    <font>
      <sz val="12"/>
      <color rgb="FFFF9900"/>
      <name val="????"/>
      <family val="1"/>
      <charset val="1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6"/>
      <name val="Microsoft YaHei"/>
      <family val="2"/>
      <charset val="136"/>
    </font>
    <font>
      <b/>
      <sz val="16"/>
      <name val="微軟正黑體"/>
      <family val="2"/>
      <charset val="136"/>
    </font>
    <font>
      <b/>
      <sz val="12"/>
      <name val="Microsoft YaHei"/>
      <family val="2"/>
      <charset val="136"/>
    </font>
    <font>
      <b/>
      <sz val="18"/>
      <name val="Calibri"/>
      <family val="2"/>
      <charset val="1"/>
    </font>
    <font>
      <b/>
      <sz val="16"/>
      <color rgb="FF0000FF"/>
      <name val="微軟正黑體"/>
      <family val="2"/>
      <charset val="136"/>
    </font>
    <font>
      <b/>
      <sz val="16"/>
      <color rgb="FF0000FF"/>
      <name val="Calibri"/>
      <family val="2"/>
      <charset val="1"/>
    </font>
    <font>
      <b/>
      <sz val="16"/>
      <color rgb="FFFF0000"/>
      <name val="Microsoft YaHei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name val="Calibri"/>
      <family val="2"/>
      <charset val="1"/>
    </font>
    <font>
      <b/>
      <sz val="14"/>
      <name val="Microsoft YaHei"/>
      <family val="2"/>
      <charset val="136"/>
    </font>
    <font>
      <b/>
      <sz val="14"/>
      <color rgb="FF3366FF"/>
      <name val="Calibri"/>
      <family val="2"/>
      <charset val="1"/>
    </font>
    <font>
      <b/>
      <sz val="14"/>
      <name val="微軟正黑體"/>
      <family val="2"/>
      <charset val="136"/>
    </font>
    <font>
      <sz val="14"/>
      <name val="Microsoft YaHei"/>
      <family val="2"/>
      <charset val="136"/>
    </font>
    <font>
      <b/>
      <sz val="14"/>
      <color rgb="FF0000FF"/>
      <name val="Calibri"/>
      <family val="2"/>
      <charset val="1"/>
    </font>
    <font>
      <sz val="14"/>
      <color rgb="FF0000FF"/>
      <name val="Calibri"/>
      <family val="2"/>
      <charset val="1"/>
    </font>
    <font>
      <sz val="14"/>
      <name val="Calibri"/>
      <family val="2"/>
      <charset val="1"/>
    </font>
    <font>
      <sz val="14"/>
      <color rgb="FFFF0000"/>
      <name val="Calibri"/>
      <family val="2"/>
      <charset val="1"/>
    </font>
    <font>
      <sz val="14"/>
      <name val="細明體"/>
      <family val="3"/>
      <charset val="136"/>
    </font>
    <font>
      <b/>
      <sz val="14"/>
      <color rgb="FFFF0000"/>
      <name val="Calibri"/>
      <family val="2"/>
      <charset val="1"/>
    </font>
    <font>
      <sz val="14"/>
      <name val="微軟正黑體"/>
      <family val="2"/>
      <charset val="136"/>
    </font>
    <font>
      <b/>
      <sz val="14"/>
      <color rgb="FFFF0000"/>
      <name val="Microsoft YaHei"/>
      <family val="2"/>
      <charset val="136"/>
    </font>
    <font>
      <sz val="12"/>
      <name val="Calibri"/>
      <family val="2"/>
      <charset val="1"/>
    </font>
    <font>
      <sz val="16"/>
      <color rgb="FFFF0000"/>
      <name val="Calibri"/>
      <family val="2"/>
      <charset val="1"/>
    </font>
    <font>
      <b/>
      <sz val="16"/>
      <name val="Calibri"/>
      <family val="2"/>
      <charset val="1"/>
    </font>
    <font>
      <sz val="12"/>
      <color rgb="FF000000"/>
      <name val="Microsoft YaHei"/>
      <family val="2"/>
      <charset val="136"/>
    </font>
    <font>
      <sz val="12"/>
      <color rgb="FF000000"/>
      <name val="Calibri"/>
      <family val="2"/>
      <charset val="1"/>
    </font>
    <font>
      <sz val="12"/>
      <color rgb="FF000000"/>
      <name val="新細明體"/>
      <family val="1"/>
      <charset val="136"/>
    </font>
    <font>
      <b/>
      <sz val="12"/>
      <name val="Calibri"/>
      <family val="2"/>
      <charset val="1"/>
    </font>
    <font>
      <b/>
      <sz val="12"/>
      <color rgb="FF000000"/>
      <name val="Microsoft YaHei"/>
      <family val="2"/>
      <charset val="136"/>
    </font>
    <font>
      <b/>
      <u/>
      <sz val="12"/>
      <color rgb="FF000000"/>
      <name val="Calibri"/>
      <family val="2"/>
      <charset val="1"/>
    </font>
    <font>
      <b/>
      <u/>
      <sz val="12"/>
      <color rgb="FF000000"/>
      <name val="Microsoft YaHei"/>
      <family val="2"/>
      <charset val="136"/>
    </font>
    <font>
      <b/>
      <sz val="12"/>
      <color rgb="FF000000"/>
      <name val="Calibri"/>
      <family val="2"/>
      <charset val="1"/>
    </font>
    <font>
      <u/>
      <sz val="12"/>
      <color rgb="FF000000"/>
      <name val="Microsoft YaHei"/>
      <family val="2"/>
      <charset val="136"/>
    </font>
    <font>
      <u/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u/>
      <sz val="16"/>
      <name val="Microsoft YaHei"/>
      <family val="2"/>
      <charset val="136"/>
    </font>
    <font>
      <b/>
      <sz val="18"/>
      <name val="Microsoft YaHei"/>
      <family val="2"/>
      <charset val="136"/>
    </font>
    <font>
      <b/>
      <sz val="18"/>
      <name val="微軟正黑體"/>
      <family val="2"/>
      <charset val="136"/>
    </font>
    <font>
      <b/>
      <sz val="18"/>
      <name val="新細明體"/>
      <family val="1"/>
      <charset val="136"/>
    </font>
    <font>
      <b/>
      <i/>
      <sz val="12"/>
      <name val="Microsoft YaHei"/>
      <family val="2"/>
      <charset val="136"/>
    </font>
    <font>
      <sz val="12"/>
      <name val="細明體"/>
      <family val="3"/>
      <charset val="136"/>
    </font>
    <font>
      <sz val="12"/>
      <color rgb="FF0000FF"/>
      <name val="Microsoft YaHei"/>
      <family val="2"/>
      <charset val="136"/>
    </font>
    <font>
      <sz val="12"/>
      <color rgb="FF0000FF"/>
      <name val="Calibri"/>
      <family val="2"/>
      <charset val="1"/>
    </font>
    <font>
      <b/>
      <i/>
      <u/>
      <sz val="12"/>
      <color rgb="FF000000"/>
      <name val="Calibri"/>
      <family val="2"/>
      <charset val="1"/>
    </font>
    <font>
      <b/>
      <i/>
      <u/>
      <sz val="12"/>
      <color rgb="FF000000"/>
      <name val="Microsoft YaHei"/>
      <family val="2"/>
      <charset val="136"/>
    </font>
    <font>
      <sz val="14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4"/>
      <color rgb="FF000000"/>
      <name val="Calibri"/>
      <family val="2"/>
      <charset val="1"/>
    </font>
    <font>
      <b/>
      <sz val="12"/>
      <color rgb="FF000000"/>
      <name val="新細明體"/>
      <family val="1"/>
      <charset val="136"/>
    </font>
    <font>
      <u/>
      <sz val="12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微軟正黑體"/>
      <family val="2"/>
      <charset val="136"/>
    </font>
    <font>
      <sz val="14"/>
      <color rgb="FF000000"/>
      <name val="Calibri"/>
      <family val="2"/>
      <charset val="1"/>
    </font>
    <font>
      <sz val="14"/>
      <color rgb="FF000000"/>
      <name val="微軟正黑體"/>
      <family val="2"/>
      <charset val="136"/>
    </font>
    <font>
      <sz val="7"/>
      <color rgb="FF000000"/>
      <name val="Calibri"/>
      <family val="2"/>
      <charset val="1"/>
    </font>
    <font>
      <sz val="7"/>
      <color rgb="FF000000"/>
      <name val="新細明體"/>
      <family val="1"/>
      <charset val="136"/>
    </font>
    <font>
      <sz val="7"/>
      <name val="新細明體"/>
      <family val="1"/>
      <charset val="136"/>
    </font>
    <font>
      <b/>
      <i/>
      <sz val="12"/>
      <color rgb="FF000000"/>
      <name val="Calibri"/>
      <family val="2"/>
      <charset val="1"/>
    </font>
    <font>
      <b/>
      <i/>
      <u/>
      <sz val="10"/>
      <color rgb="FF000000"/>
      <name val="Microsoft YaHei"/>
      <family val="2"/>
      <charset val="136"/>
    </font>
    <font>
      <b/>
      <i/>
      <sz val="12"/>
      <color rgb="FF000000"/>
      <name val="Microsoft YaHei"/>
      <family val="2"/>
      <charset val="136"/>
    </font>
    <font>
      <b/>
      <u/>
      <sz val="12"/>
      <name val="Microsoft YaHei"/>
      <family val="2"/>
      <charset val="136"/>
    </font>
    <font>
      <sz val="8"/>
      <color rgb="FF000000"/>
      <name val="Microsoft YaHei"/>
      <family val="2"/>
      <charset val="136"/>
    </font>
    <font>
      <sz val="10"/>
      <color rgb="FF000000"/>
      <name val="Microsoft YaHei"/>
      <family val="2"/>
      <charset val="136"/>
    </font>
    <font>
      <b/>
      <u/>
      <sz val="12"/>
      <name val="Calibri"/>
      <family val="2"/>
      <charset val="1"/>
    </font>
    <font>
      <b/>
      <sz val="8"/>
      <color rgb="FF000000"/>
      <name val="Microsoft YaHei"/>
      <family val="2"/>
      <charset val="136"/>
    </font>
    <font>
      <b/>
      <i/>
      <u/>
      <sz val="8"/>
      <color rgb="FF000000"/>
      <name val="Microsoft YaHei"/>
      <family val="2"/>
      <charset val="136"/>
    </font>
    <font>
      <sz val="11"/>
      <color rgb="FF000000"/>
      <name val="Microsoft YaHei"/>
      <family val="2"/>
      <charset val="136"/>
    </font>
    <font>
      <i/>
      <sz val="12"/>
      <name val="Calibri"/>
      <family val="2"/>
      <charset val="1"/>
    </font>
    <font>
      <u/>
      <sz val="8"/>
      <color rgb="FF000000"/>
      <name val="Microsoft YaHei"/>
      <family val="2"/>
      <charset val="136"/>
    </font>
    <font>
      <u/>
      <sz val="10"/>
      <color rgb="FF000000"/>
      <name val="Microsoft YaHei"/>
      <family val="2"/>
      <charset val="136"/>
    </font>
    <font>
      <u/>
      <vertAlign val="superscript"/>
      <sz val="12"/>
      <color rgb="FF000000"/>
      <name val="Calibri"/>
      <family val="2"/>
      <charset val="1"/>
    </font>
    <font>
      <u/>
      <sz val="14"/>
      <color rgb="FF000000"/>
      <name val="Microsoft YaHei"/>
      <family val="2"/>
      <charset val="136"/>
    </font>
    <font>
      <u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FF0000"/>
      <name val="Microsoft YaHei"/>
      <family val="2"/>
      <charset val="136"/>
    </font>
    <font>
      <b/>
      <sz val="12"/>
      <color rgb="FF000000"/>
      <name val="微軟正黑體"/>
      <family val="2"/>
      <charset val="136"/>
    </font>
    <font>
      <b/>
      <u/>
      <sz val="12"/>
      <name val="微軟正黑體"/>
      <family val="2"/>
      <charset val="136"/>
    </font>
    <font>
      <i/>
      <sz val="12"/>
      <name val="Microsoft YaHei"/>
      <family val="2"/>
      <charset val="136"/>
    </font>
    <font>
      <sz val="48"/>
      <name val="Microsoft YaHei"/>
      <family val="2"/>
      <charset val="136"/>
    </font>
    <font>
      <b/>
      <sz val="12"/>
      <name val="細明體"/>
      <family val="3"/>
      <charset val="136"/>
    </font>
    <font>
      <sz val="11"/>
      <color rgb="FF000000"/>
      <name val="Calibri"/>
      <family val="2"/>
      <charset val="1"/>
    </font>
    <font>
      <sz val="11"/>
      <color rgb="FF000000"/>
      <name val="微軟正黑體"/>
      <family val="2"/>
      <charset val="136"/>
    </font>
    <font>
      <sz val="11"/>
      <name val="Microsoft YaHei"/>
      <family val="2"/>
      <charset val="136"/>
    </font>
    <font>
      <b/>
      <u/>
      <sz val="12"/>
      <name val="細明體"/>
      <family val="3"/>
      <charset val="136"/>
    </font>
    <font>
      <b/>
      <u/>
      <sz val="12"/>
      <name val="Microsoft JhengHei"/>
      <family val="2"/>
      <charset val="136"/>
    </font>
    <font>
      <sz val="12"/>
      <name val="Microsoft JhengHei"/>
      <family val="2"/>
      <charset val="136"/>
    </font>
    <font>
      <sz val="72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72"/>
      <name val="Calibri"/>
      <family val="2"/>
      <charset val="1"/>
    </font>
    <font>
      <sz val="72"/>
      <name val="Microsoft YaHei"/>
      <family val="2"/>
      <charset val="136"/>
    </font>
    <font>
      <b/>
      <sz val="12"/>
      <name val="Microsoft JhengHei"/>
      <family val="2"/>
      <charset val="136"/>
    </font>
    <font>
      <sz val="9"/>
      <name val="Microsoft YaHei"/>
      <family val="2"/>
      <charset val="136"/>
    </font>
    <font>
      <b/>
      <sz val="12"/>
      <name val="Microsoft YaHei"/>
      <family val="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CCFF"/>
        <bgColor rgb="FFC6D9F1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CD5B5"/>
      </patternFill>
    </fill>
    <fill>
      <patternFill patternType="solid">
        <fgColor rgb="FF99CCFF"/>
        <bgColor rgb="FFB4C7E7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C0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FFFF"/>
      </patternFill>
    </fill>
    <fill>
      <patternFill patternType="solid">
        <fgColor rgb="FFFF99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4C7E7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6A6A6"/>
      </patternFill>
    </fill>
    <fill>
      <patternFill patternType="solid">
        <fgColor rgb="FFFFFF00"/>
        <bgColor rgb="FFFFCC00"/>
      </patternFill>
    </fill>
    <fill>
      <patternFill patternType="solid">
        <fgColor rgb="FFFCD5B5"/>
        <bgColor rgb="FFFFCC99"/>
      </patternFill>
    </fill>
    <fill>
      <patternFill patternType="solid">
        <fgColor rgb="FF99CC00"/>
        <bgColor rgb="FF92D050"/>
      </patternFill>
    </fill>
    <fill>
      <patternFill patternType="solid">
        <fgColor rgb="FFA6A6A6"/>
        <bgColor rgb="FF969696"/>
      </patternFill>
    </fill>
    <fill>
      <patternFill patternType="solid">
        <fgColor rgb="FFC6D9F1"/>
        <bgColor rgb="FFCCCCFF"/>
      </patternFill>
    </fill>
    <fill>
      <patternFill patternType="solid">
        <fgColor rgb="FF92D050"/>
        <bgColor rgb="FF99CC00"/>
      </patternFill>
    </fill>
    <fill>
      <patternFill patternType="solid">
        <fgColor rgb="FFB9CDE5"/>
        <bgColor rgb="FFB4C7E7"/>
      </patternFill>
    </fill>
    <fill>
      <patternFill patternType="solid">
        <fgColor rgb="FFD9D9D9"/>
        <bgColor rgb="FFC6D9F1"/>
      </patternFill>
    </fill>
    <fill>
      <patternFill patternType="solid">
        <fgColor rgb="FFFFC000"/>
        <bgColor rgb="FFFFCC00"/>
      </patternFill>
    </fill>
    <fill>
      <patternFill patternType="solid">
        <fgColor rgb="FFB4C7E7"/>
        <bgColor rgb="FFB9CDE5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008000"/>
      </left>
      <right style="thin">
        <color auto="1"/>
      </right>
      <top style="double">
        <color rgb="FF008000"/>
      </top>
      <bottom/>
      <diagonal/>
    </border>
    <border>
      <left style="double">
        <color rgb="FF008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rgb="FF008000"/>
      </top>
      <bottom/>
      <diagonal/>
    </border>
    <border>
      <left style="thin">
        <color auto="1"/>
      </left>
      <right style="thin">
        <color auto="1"/>
      </right>
      <top style="double">
        <color rgb="FF008000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rgb="FF800080"/>
      </bottom>
      <diagonal/>
    </border>
    <border>
      <left style="thin">
        <color auto="1"/>
      </left>
      <right/>
      <top style="thin">
        <color rgb="FF800080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1" fillId="12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13" borderId="0" applyBorder="0" applyProtection="0">
      <alignment vertical="center"/>
    </xf>
    <xf numFmtId="0" fontId="1" fillId="14" borderId="0" applyBorder="0" applyProtection="0">
      <alignment vertical="center"/>
    </xf>
    <xf numFmtId="0" fontId="1" fillId="15" borderId="0" applyBorder="0" applyProtection="0">
      <alignment vertical="center"/>
    </xf>
    <xf numFmtId="0" fontId="2" fillId="3" borderId="0" applyBorder="0" applyProtection="0">
      <alignment vertical="center"/>
    </xf>
    <xf numFmtId="0" fontId="3" fillId="4" borderId="0" applyBorder="0" applyProtection="0">
      <alignment vertical="center"/>
    </xf>
    <xf numFmtId="0" fontId="4" fillId="16" borderId="0" applyBorder="0" applyProtection="0">
      <alignment vertical="center"/>
    </xf>
    <xf numFmtId="0" fontId="5" fillId="17" borderId="1" applyProtection="0">
      <alignment vertical="center"/>
    </xf>
    <xf numFmtId="0" fontId="6" fillId="0" borderId="2" applyProtection="0">
      <alignment vertical="center"/>
    </xf>
    <xf numFmtId="0" fontId="7" fillId="0" borderId="0"/>
    <xf numFmtId="0" fontId="8" fillId="0" borderId="3" applyProtection="0">
      <alignment vertical="center"/>
    </xf>
    <xf numFmtId="0" fontId="1" fillId="0" borderId="0">
      <alignment vertical="center"/>
    </xf>
    <xf numFmtId="0" fontId="9" fillId="0" borderId="4" applyProtection="0">
      <alignment vertical="center"/>
    </xf>
    <xf numFmtId="0" fontId="9" fillId="0" borderId="0" applyBorder="0" applyProtection="0">
      <alignment vertical="center"/>
    </xf>
    <xf numFmtId="0" fontId="10" fillId="0" borderId="0" applyBorder="0" applyProtection="0">
      <alignment vertical="center"/>
    </xf>
    <xf numFmtId="0" fontId="11" fillId="0" borderId="5" applyProtection="0">
      <alignment vertical="center"/>
    </xf>
    <xf numFmtId="0" fontId="12" fillId="7" borderId="6" applyProtection="0">
      <alignment vertical="center"/>
    </xf>
    <xf numFmtId="0" fontId="13" fillId="18" borderId="7" applyProtection="0">
      <alignment vertical="center"/>
    </xf>
    <xf numFmtId="0" fontId="14" fillId="19" borderId="0" applyBorder="0" applyProtection="0">
      <alignment vertical="center"/>
    </xf>
    <xf numFmtId="0" fontId="14" fillId="20" borderId="0" applyBorder="0" applyProtection="0">
      <alignment vertical="center"/>
    </xf>
    <xf numFmtId="0" fontId="14" fillId="21" borderId="0" applyBorder="0" applyProtection="0">
      <alignment vertical="center"/>
    </xf>
    <xf numFmtId="0" fontId="14" fillId="13" borderId="0" applyBorder="0" applyProtection="0">
      <alignment vertical="center"/>
    </xf>
    <xf numFmtId="0" fontId="14" fillId="14" borderId="0" applyBorder="0" applyProtection="0">
      <alignment vertical="center"/>
    </xf>
    <xf numFmtId="0" fontId="14" fillId="22" borderId="0" applyBorder="0" applyProtection="0">
      <alignment vertical="center"/>
    </xf>
    <xf numFmtId="0" fontId="15" fillId="18" borderId="6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23" borderId="8" applyProtection="0">
      <alignment vertical="center"/>
    </xf>
    <xf numFmtId="0" fontId="19" fillId="0" borderId="9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6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>
      <alignment vertical="center"/>
    </xf>
    <xf numFmtId="0" fontId="0" fillId="0" borderId="0" xfId="0" applyFont="1">
      <alignment vertical="center"/>
    </xf>
    <xf numFmtId="0" fontId="30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29" fillId="0" borderId="0" xfId="0" applyFont="1" applyBorder="1">
      <alignment vertical="center"/>
    </xf>
    <xf numFmtId="0" fontId="27" fillId="0" borderId="10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34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1" fillId="6" borderId="20" xfId="0" applyFont="1" applyFill="1" applyBorder="1" applyAlignment="1">
      <alignment horizontal="center" vertical="center" wrapText="1"/>
    </xf>
    <xf numFmtId="0" fontId="42" fillId="6" borderId="21" xfId="0" applyFont="1" applyFill="1" applyBorder="1" applyAlignment="1">
      <alignment horizontal="center" vertical="center"/>
    </xf>
    <xf numFmtId="0" fontId="42" fillId="16" borderId="21" xfId="0" applyFont="1" applyFill="1" applyBorder="1" applyAlignment="1">
      <alignment horizontal="center" vertical="center"/>
    </xf>
    <xf numFmtId="0" fontId="39" fillId="16" borderId="21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3" fillId="16" borderId="22" xfId="0" applyFont="1" applyFill="1" applyBorder="1" applyAlignment="1">
      <alignment horizontal="center" vertical="center"/>
    </xf>
    <xf numFmtId="0" fontId="35" fillId="24" borderId="23" xfId="0" applyFont="1" applyFill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41" fillId="6" borderId="26" xfId="0" applyFont="1" applyFill="1" applyBorder="1" applyAlignment="1">
      <alignment horizontal="center" vertical="center" wrapText="1"/>
    </xf>
    <xf numFmtId="0" fontId="42" fillId="6" borderId="12" xfId="0" applyFont="1" applyFill="1" applyBorder="1" applyAlignment="1">
      <alignment horizontal="center" vertical="center"/>
    </xf>
    <xf numFmtId="0" fontId="42" fillId="16" borderId="27" xfId="0" applyFont="1" applyFill="1" applyBorder="1" applyAlignment="1">
      <alignment horizontal="center" vertical="center"/>
    </xf>
    <xf numFmtId="0" fontId="39" fillId="16" borderId="27" xfId="0" applyFont="1" applyFill="1" applyBorder="1" applyAlignment="1">
      <alignment horizontal="center" vertical="center"/>
    </xf>
    <xf numFmtId="0" fontId="42" fillId="16" borderId="28" xfId="0" applyFont="1" applyFill="1" applyBorder="1" applyAlignment="1">
      <alignment horizontal="center" vertical="center"/>
    </xf>
    <xf numFmtId="0" fontId="42" fillId="16" borderId="12" xfId="0" applyFont="1" applyFill="1" applyBorder="1" applyAlignment="1">
      <alignment horizontal="center" vertical="center"/>
    </xf>
    <xf numFmtId="0" fontId="39" fillId="16" borderId="12" xfId="0" applyFont="1" applyFill="1" applyBorder="1" applyAlignment="1">
      <alignment horizontal="center" vertical="center"/>
    </xf>
    <xf numFmtId="0" fontId="43" fillId="16" borderId="29" xfId="0" applyFont="1" applyFill="1" applyBorder="1" applyAlignment="1">
      <alignment horizontal="center" vertical="center"/>
    </xf>
    <xf numFmtId="0" fontId="35" fillId="24" borderId="30" xfId="0" applyFont="1" applyFill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1" fillId="6" borderId="33" xfId="0" applyFont="1" applyFill="1" applyBorder="1" applyAlignment="1">
      <alignment horizontal="center" vertical="center" wrapText="1"/>
    </xf>
    <xf numFmtId="0" fontId="42" fillId="6" borderId="34" xfId="0" applyFont="1" applyFill="1" applyBorder="1" applyAlignment="1">
      <alignment horizontal="center" vertical="center"/>
    </xf>
    <xf numFmtId="0" fontId="42" fillId="16" borderId="35" xfId="0" applyFont="1" applyFill="1" applyBorder="1" applyAlignment="1">
      <alignment horizontal="center" vertical="center"/>
    </xf>
    <xf numFmtId="0" fontId="39" fillId="16" borderId="35" xfId="0" applyFont="1" applyFill="1" applyBorder="1" applyAlignment="1">
      <alignment horizontal="center" vertical="center"/>
    </xf>
    <xf numFmtId="0" fontId="42" fillId="16" borderId="36" xfId="0" applyFont="1" applyFill="1" applyBorder="1" applyAlignment="1">
      <alignment horizontal="center" vertical="center"/>
    </xf>
    <xf numFmtId="0" fontId="42" fillId="16" borderId="34" xfId="0" applyFont="1" applyFill="1" applyBorder="1" applyAlignment="1">
      <alignment horizontal="center" vertical="center"/>
    </xf>
    <xf numFmtId="0" fontId="39" fillId="16" borderId="34" xfId="0" applyFont="1" applyFill="1" applyBorder="1" applyAlignment="1">
      <alignment horizontal="center" vertical="center"/>
    </xf>
    <xf numFmtId="0" fontId="43" fillId="16" borderId="37" xfId="0" applyFont="1" applyFill="1" applyBorder="1" applyAlignment="1">
      <alignment horizontal="center" vertical="center"/>
    </xf>
    <xf numFmtId="0" fontId="35" fillId="24" borderId="38" xfId="0" applyFont="1" applyFill="1" applyBorder="1" applyAlignment="1">
      <alignment horizontal="center" vertical="center"/>
    </xf>
    <xf numFmtId="0" fontId="36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/>
    </xf>
    <xf numFmtId="0" fontId="43" fillId="0" borderId="28" xfId="0" applyFont="1" applyBorder="1" applyAlignment="1">
      <alignment horizontal="center" vertical="center"/>
    </xf>
    <xf numFmtId="0" fontId="35" fillId="24" borderId="41" xfId="0" applyFont="1" applyFill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/>
    </xf>
    <xf numFmtId="0" fontId="43" fillId="0" borderId="29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3" fillId="25" borderId="12" xfId="0" applyFont="1" applyFill="1" applyBorder="1" applyAlignment="1">
      <alignment horizontal="center" vertical="center"/>
    </xf>
    <xf numFmtId="0" fontId="45" fillId="24" borderId="30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3" fillId="25" borderId="12" xfId="0" applyFont="1" applyFill="1" applyBorder="1" applyAlignment="1">
      <alignment horizontal="center"/>
    </xf>
    <xf numFmtId="0" fontId="45" fillId="24" borderId="38" xfId="0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 wrapText="1"/>
    </xf>
    <xf numFmtId="0" fontId="42" fillId="0" borderId="42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>
      <alignment vertical="center"/>
    </xf>
    <xf numFmtId="0" fontId="47" fillId="24" borderId="43" xfId="0" applyFont="1" applyFill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47" fillId="24" borderId="32" xfId="0" applyFont="1" applyFill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48" fillId="0" borderId="12" xfId="0" applyFont="1" applyBorder="1" applyAlignment="1">
      <alignment horizontal="center" vertical="center"/>
    </xf>
    <xf numFmtId="0" fontId="42" fillId="26" borderId="12" xfId="0" applyFont="1" applyFill="1" applyBorder="1" applyAlignment="1">
      <alignment horizontal="center"/>
    </xf>
    <xf numFmtId="0" fontId="41" fillId="0" borderId="12" xfId="0" applyFont="1" applyBorder="1" applyAlignment="1">
      <alignment horizontal="center" vertical="center"/>
    </xf>
    <xf numFmtId="0" fontId="49" fillId="16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/>
    </xf>
    <xf numFmtId="0" fontId="39" fillId="0" borderId="12" xfId="0" applyFont="1" applyBorder="1" applyAlignment="1">
      <alignment horizontal="left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top" wrapText="1"/>
    </xf>
    <xf numFmtId="0" fontId="0" fillId="0" borderId="44" xfId="0" applyBorder="1">
      <alignment vertical="center"/>
    </xf>
    <xf numFmtId="0" fontId="51" fillId="0" borderId="0" xfId="49" applyFont="1"/>
    <xf numFmtId="0" fontId="52" fillId="0" borderId="0" xfId="54" applyFont="1" applyAlignment="1">
      <alignment horizontal="left"/>
    </xf>
    <xf numFmtId="0" fontId="53" fillId="0" borderId="0" xfId="54" applyFont="1" applyAlignment="1">
      <alignment horizontal="right"/>
    </xf>
    <xf numFmtId="0" fontId="53" fillId="0" borderId="0" xfId="54" applyFont="1"/>
    <xf numFmtId="0" fontId="52" fillId="0" borderId="12" xfId="54" applyFont="1" applyBorder="1" applyAlignment="1">
      <alignment horizontal="center" vertical="top" wrapText="1"/>
    </xf>
    <xf numFmtId="0" fontId="53" fillId="0" borderId="0" xfId="54" applyFont="1" applyAlignment="1">
      <alignment horizontal="center" vertical="top" wrapText="1"/>
    </xf>
    <xf numFmtId="0" fontId="53" fillId="0" borderId="0" xfId="54" applyFont="1" applyAlignment="1">
      <alignment horizontal="left"/>
    </xf>
    <xf numFmtId="0" fontId="51" fillId="0" borderId="0" xfId="49" applyFont="1" applyAlignment="1">
      <alignment horizontal="left"/>
    </xf>
    <xf numFmtId="0" fontId="51" fillId="0" borderId="0" xfId="49" applyFont="1" applyAlignment="1">
      <alignment horizontal="center"/>
    </xf>
    <xf numFmtId="0" fontId="52" fillId="0" borderId="0" xfId="49" applyFont="1"/>
    <xf numFmtId="0" fontId="54" fillId="0" borderId="12" xfId="44" applyFont="1" applyBorder="1" applyAlignment="1">
      <alignment horizontal="left"/>
    </xf>
    <xf numFmtId="0" fontId="51" fillId="0" borderId="18" xfId="49" applyFont="1" applyBorder="1" applyAlignment="1">
      <alignment horizontal="left"/>
    </xf>
    <xf numFmtId="0" fontId="55" fillId="0" borderId="0" xfId="49" applyFont="1" applyAlignment="1">
      <alignment horizontal="right"/>
    </xf>
    <xf numFmtId="0" fontId="56" fillId="0" borderId="18" xfId="49" applyFont="1" applyBorder="1" applyAlignment="1">
      <alignment horizontal="center"/>
    </xf>
    <xf numFmtId="0" fontId="51" fillId="0" borderId="10" xfId="49" applyFont="1" applyBorder="1"/>
    <xf numFmtId="176" fontId="57" fillId="0" borderId="18" xfId="49" applyNumberFormat="1" applyFont="1" applyBorder="1" applyAlignment="1">
      <alignment horizontal="center"/>
    </xf>
    <xf numFmtId="0" fontId="51" fillId="0" borderId="42" xfId="49" applyFont="1" applyBorder="1"/>
    <xf numFmtId="0" fontId="51" fillId="0" borderId="16" xfId="49" applyFont="1" applyBorder="1"/>
    <xf numFmtId="0" fontId="55" fillId="0" borderId="18" xfId="49" applyFont="1" applyBorder="1" applyAlignment="1">
      <alignment horizontal="center"/>
    </xf>
    <xf numFmtId="0" fontId="55" fillId="0" borderId="0" xfId="49" applyFont="1" applyAlignment="1">
      <alignment horizontal="center"/>
    </xf>
    <xf numFmtId="0" fontId="55" fillId="0" borderId="44" xfId="49" applyFont="1" applyBorder="1" applyAlignment="1">
      <alignment horizontal="right"/>
    </xf>
    <xf numFmtId="0" fontId="52" fillId="0" borderId="0" xfId="49" applyFont="1" applyAlignment="1">
      <alignment horizontal="center"/>
    </xf>
    <xf numFmtId="0" fontId="51" fillId="0" borderId="18" xfId="49" applyFont="1" applyBorder="1" applyAlignment="1">
      <alignment horizontal="center"/>
    </xf>
    <xf numFmtId="0" fontId="51" fillId="0" borderId="10" xfId="49" applyFont="1" applyBorder="1" applyAlignment="1">
      <alignment horizontal="center"/>
    </xf>
    <xf numFmtId="0" fontId="58" fillId="0" borderId="0" xfId="49" applyFont="1" applyAlignment="1">
      <alignment horizontal="center"/>
    </xf>
    <xf numFmtId="0" fontId="57" fillId="0" borderId="27" xfId="49" applyFont="1" applyBorder="1" applyAlignment="1">
      <alignment horizontal="center"/>
    </xf>
    <xf numFmtId="0" fontId="57" fillId="0" borderId="12" xfId="49" applyFont="1" applyBorder="1" applyAlignment="1">
      <alignment horizontal="center"/>
    </xf>
    <xf numFmtId="0" fontId="55" fillId="0" borderId="10" xfId="49" applyFont="1" applyBorder="1"/>
    <xf numFmtId="0" fontId="51" fillId="0" borderId="28" xfId="49" applyFont="1" applyBorder="1"/>
    <xf numFmtId="0" fontId="51" fillId="0" borderId="18" xfId="49" applyFont="1" applyBorder="1"/>
    <xf numFmtId="0" fontId="59" fillId="0" borderId="0" xfId="49" applyFont="1" applyAlignment="1">
      <alignment horizontal="center"/>
    </xf>
    <xf numFmtId="0" fontId="59" fillId="0" borderId="0" xfId="0" applyFont="1">
      <alignment vertical="center"/>
    </xf>
    <xf numFmtId="0" fontId="51" fillId="0" borderId="18" xfId="0" applyFont="1" applyBorder="1">
      <alignment vertical="center"/>
    </xf>
    <xf numFmtId="0" fontId="60" fillId="0" borderId="0" xfId="49" applyFont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27" xfId="49" applyFont="1" applyBorder="1"/>
    <xf numFmtId="0" fontId="57" fillId="0" borderId="12" xfId="49" applyFont="1" applyBorder="1"/>
    <xf numFmtId="0" fontId="51" fillId="0" borderId="27" xfId="0" applyFont="1" applyBorder="1">
      <alignment vertical="center"/>
    </xf>
    <xf numFmtId="0" fontId="55" fillId="0" borderId="0" xfId="49" applyFont="1"/>
    <xf numFmtId="0" fontId="0" fillId="0" borderId="0" xfId="44" applyFont="1"/>
    <xf numFmtId="0" fontId="0" fillId="0" borderId="0" xfId="44" applyFont="1" applyAlignment="1">
      <alignment horizontal="center"/>
    </xf>
    <xf numFmtId="0" fontId="61" fillId="0" borderId="0" xfId="44" applyFont="1"/>
    <xf numFmtId="0" fontId="62" fillId="0" borderId="0" xfId="44" applyFont="1"/>
    <xf numFmtId="0" fontId="0" fillId="0" borderId="0" xfId="44" applyFont="1" applyAlignment="1">
      <alignment horizontal="left"/>
    </xf>
    <xf numFmtId="0" fontId="63" fillId="0" borderId="0" xfId="44" applyFont="1"/>
    <xf numFmtId="0" fontId="64" fillId="0" borderId="0" xfId="50" applyFont="1" applyAlignment="1">
      <alignment horizontal="left"/>
    </xf>
    <xf numFmtId="0" fontId="20" fillId="0" borderId="0" xfId="50" applyFont="1" applyAlignment="1">
      <alignment horizontal="center"/>
    </xf>
    <xf numFmtId="0" fontId="39" fillId="0" borderId="0" xfId="44" applyFont="1"/>
    <xf numFmtId="0" fontId="66" fillId="0" borderId="0" xfId="44" applyFont="1" applyAlignment="1">
      <alignment horizontal="center"/>
    </xf>
    <xf numFmtId="0" fontId="39" fillId="0" borderId="10" xfId="44" applyFont="1" applyBorder="1" applyAlignment="1">
      <alignment horizontal="center"/>
    </xf>
    <xf numFmtId="0" fontId="21" fillId="0" borderId="10" xfId="44" applyFont="1" applyBorder="1" applyAlignment="1">
      <alignment horizontal="center"/>
    </xf>
    <xf numFmtId="0" fontId="21" fillId="0" borderId="0" xfId="44" applyFont="1" applyAlignment="1">
      <alignment horizontal="center"/>
    </xf>
    <xf numFmtId="0" fontId="48" fillId="0" borderId="13" xfId="44" applyFont="1" applyBorder="1" applyAlignment="1">
      <alignment horizontal="center"/>
    </xf>
    <xf numFmtId="0" fontId="0" fillId="0" borderId="17" xfId="44" applyFont="1" applyBorder="1" applyAlignment="1">
      <alignment horizontal="center"/>
    </xf>
    <xf numFmtId="0" fontId="42" fillId="0" borderId="12" xfId="50" applyFont="1" applyBorder="1" applyAlignment="1">
      <alignment horizontal="center"/>
    </xf>
    <xf numFmtId="0" fontId="42" fillId="6" borderId="29" xfId="50" applyFont="1" applyFill="1" applyBorder="1" applyAlignment="1">
      <alignment horizontal="center"/>
    </xf>
    <xf numFmtId="0" fontId="42" fillId="0" borderId="31" xfId="50" applyFont="1" applyBorder="1" applyAlignment="1">
      <alignment horizontal="center"/>
    </xf>
    <xf numFmtId="0" fontId="48" fillId="0" borderId="29" xfId="44" applyFont="1" applyBorder="1" applyAlignment="1">
      <alignment horizontal="center"/>
    </xf>
    <xf numFmtId="0" fontId="0" fillId="0" borderId="12" xfId="44" applyFont="1" applyBorder="1"/>
    <xf numFmtId="0" fontId="0" fillId="0" borderId="12" xfId="44" applyFont="1" applyBorder="1" applyAlignment="1">
      <alignment horizontal="center"/>
    </xf>
    <xf numFmtId="0" fontId="48" fillId="0" borderId="17" xfId="44" applyFont="1" applyBorder="1" applyAlignment="1">
      <alignment horizontal="center"/>
    </xf>
    <xf numFmtId="0" fontId="20" fillId="0" borderId="27" xfId="52" applyFont="1" applyBorder="1" applyAlignment="1">
      <alignment horizontal="center"/>
    </xf>
    <xf numFmtId="0" fontId="46" fillId="0" borderId="12" xfId="53" applyFont="1" applyBorder="1" applyAlignment="1">
      <alignment horizontal="center"/>
    </xf>
    <xf numFmtId="0" fontId="42" fillId="6" borderId="29" xfId="53" applyFont="1" applyFill="1" applyBorder="1" applyAlignment="1">
      <alignment horizontal="center"/>
    </xf>
    <xf numFmtId="0" fontId="46" fillId="0" borderId="31" xfId="53" applyFont="1" applyBorder="1" applyAlignment="1">
      <alignment horizontal="center"/>
    </xf>
    <xf numFmtId="0" fontId="48" fillId="0" borderId="16" xfId="44" applyFont="1" applyBorder="1" applyAlignment="1">
      <alignment horizontal="center"/>
    </xf>
    <xf numFmtId="0" fontId="48" fillId="0" borderId="0" xfId="44" applyFont="1" applyAlignment="1">
      <alignment horizontal="right"/>
    </xf>
    <xf numFmtId="0" fontId="48" fillId="0" borderId="0" xfId="44" applyFont="1" applyAlignment="1">
      <alignment horizontal="left"/>
    </xf>
    <xf numFmtId="0" fontId="48" fillId="0" borderId="45" xfId="44" applyFont="1" applyBorder="1" applyAlignment="1">
      <alignment horizontal="center"/>
    </xf>
    <xf numFmtId="0" fontId="48" fillId="0" borderId="13" xfId="48" applyFont="1" applyBorder="1" applyAlignment="1">
      <alignment horizontal="center"/>
    </xf>
    <xf numFmtId="0" fontId="48" fillId="4" borderId="16" xfId="48" applyFont="1" applyFill="1" applyBorder="1" applyAlignment="1">
      <alignment horizontal="center"/>
    </xf>
    <xf numFmtId="0" fontId="48" fillId="6" borderId="16" xfId="48" applyFont="1" applyFill="1" applyBorder="1" applyAlignment="1">
      <alignment horizontal="center"/>
    </xf>
    <xf numFmtId="0" fontId="42" fillId="0" borderId="16" xfId="44" applyFont="1" applyBorder="1" applyAlignment="1">
      <alignment horizontal="center"/>
    </xf>
    <xf numFmtId="0" fontId="42" fillId="0" borderId="0" xfId="48" applyFont="1" applyAlignment="1">
      <alignment horizontal="center"/>
    </xf>
    <xf numFmtId="0" fontId="42" fillId="0" borderId="0" xfId="44" applyFont="1" applyBorder="1" applyAlignment="1">
      <alignment horizontal="center"/>
    </xf>
    <xf numFmtId="0" fontId="48" fillId="0" borderId="12" xfId="44" applyFont="1" applyBorder="1" applyAlignment="1">
      <alignment horizontal="center"/>
    </xf>
    <xf numFmtId="0" fontId="48" fillId="0" borderId="31" xfId="44" applyFont="1" applyBorder="1" applyAlignment="1">
      <alignment horizontal="center"/>
    </xf>
    <xf numFmtId="0" fontId="48" fillId="0" borderId="0" xfId="44" applyFont="1"/>
    <xf numFmtId="0" fontId="48" fillId="0" borderId="12" xfId="44" applyFont="1" applyBorder="1" applyAlignment="1">
      <alignment horizontal="left"/>
    </xf>
    <xf numFmtId="0" fontId="48" fillId="0" borderId="46" xfId="44" applyFont="1" applyBorder="1" applyAlignment="1">
      <alignment horizontal="center"/>
    </xf>
    <xf numFmtId="0" fontId="48" fillId="0" borderId="12" xfId="48" applyFont="1" applyBorder="1" applyAlignment="1">
      <alignment horizontal="center"/>
    </xf>
    <xf numFmtId="0" fontId="42" fillId="0" borderId="28" xfId="44" applyFont="1" applyBorder="1" applyAlignment="1">
      <alignment horizontal="center"/>
    </xf>
    <xf numFmtId="0" fontId="42" fillId="0" borderId="10" xfId="48" applyFont="1" applyBorder="1" applyAlignment="1">
      <alignment horizontal="center"/>
    </xf>
    <xf numFmtId="0" fontId="42" fillId="0" borderId="10" xfId="44" applyFont="1" applyBorder="1" applyAlignment="1">
      <alignment horizontal="center"/>
    </xf>
    <xf numFmtId="0" fontId="67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177" fontId="48" fillId="0" borderId="0" xfId="0" applyNumberFormat="1" applyFont="1" applyAlignment="1">
      <alignment horizontal="center" vertical="center"/>
    </xf>
    <xf numFmtId="0" fontId="48" fillId="4" borderId="28" xfId="48" applyFont="1" applyFill="1" applyBorder="1" applyAlignment="1">
      <alignment horizontal="center"/>
    </xf>
    <xf numFmtId="0" fontId="48" fillId="6" borderId="28" xfId="48" applyFont="1" applyFill="1" applyBorder="1" applyAlignment="1">
      <alignment horizontal="center"/>
    </xf>
    <xf numFmtId="0" fontId="48" fillId="4" borderId="17" xfId="48" applyFont="1" applyFill="1" applyBorder="1" applyAlignment="1">
      <alignment horizontal="right"/>
    </xf>
    <xf numFmtId="0" fontId="48" fillId="6" borderId="16" xfId="48" applyFont="1" applyFill="1" applyBorder="1" applyAlignment="1">
      <alignment horizontal="left"/>
    </xf>
    <xf numFmtId="0" fontId="48" fillId="0" borderId="16" xfId="48" applyFont="1" applyBorder="1" applyAlignment="1">
      <alignment horizontal="center"/>
    </xf>
    <xf numFmtId="0" fontId="48" fillId="0" borderId="0" xfId="48" applyFont="1" applyAlignment="1">
      <alignment horizontal="center"/>
    </xf>
    <xf numFmtId="0" fontId="48" fillId="0" borderId="18" xfId="48" applyFont="1" applyBorder="1" applyAlignment="1">
      <alignment horizontal="center"/>
    </xf>
    <xf numFmtId="0" fontId="48" fillId="6" borderId="27" xfId="48" applyFont="1" applyFill="1" applyBorder="1" applyAlignment="1">
      <alignment horizontal="left"/>
    </xf>
    <xf numFmtId="0" fontId="48" fillId="0" borderId="28" xfId="48" applyFont="1" applyBorder="1" applyAlignment="1">
      <alignment horizontal="center"/>
    </xf>
    <xf numFmtId="0" fontId="48" fillId="0" borderId="10" xfId="48" applyFont="1" applyBorder="1" applyAlignment="1">
      <alignment horizontal="center"/>
    </xf>
    <xf numFmtId="0" fontId="48" fillId="0" borderId="42" xfId="48" applyFont="1" applyBorder="1" applyAlignment="1">
      <alignment horizontal="center"/>
    </xf>
    <xf numFmtId="0" fontId="48" fillId="0" borderId="47" xfId="44" applyFont="1" applyBorder="1" applyAlignment="1">
      <alignment horizontal="center"/>
    </xf>
    <xf numFmtId="0" fontId="48" fillId="4" borderId="13" xfId="48" applyFont="1" applyFill="1" applyBorder="1" applyAlignment="1">
      <alignment horizontal="right"/>
    </xf>
    <xf numFmtId="0" fontId="48" fillId="0" borderId="11" xfId="48" applyFont="1" applyBorder="1" applyAlignment="1">
      <alignment horizontal="center"/>
    </xf>
    <xf numFmtId="0" fontId="48" fillId="0" borderId="44" xfId="48" applyFont="1" applyBorder="1" applyAlignment="1">
      <alignment horizontal="center"/>
    </xf>
    <xf numFmtId="0" fontId="48" fillId="0" borderId="14" xfId="48" applyFont="1" applyBorder="1" applyAlignment="1">
      <alignment horizontal="center"/>
    </xf>
    <xf numFmtId="0" fontId="48" fillId="4" borderId="27" xfId="48" applyFont="1" applyFill="1" applyBorder="1" applyAlignment="1">
      <alignment horizontal="right"/>
    </xf>
    <xf numFmtId="0" fontId="48" fillId="4" borderId="16" xfId="48" applyFont="1" applyFill="1" applyBorder="1" applyAlignment="1">
      <alignment horizontal="right"/>
    </xf>
    <xf numFmtId="0" fontId="48" fillId="4" borderId="28" xfId="48" applyFont="1" applyFill="1" applyBorder="1" applyAlignment="1">
      <alignment horizontal="right"/>
    </xf>
    <xf numFmtId="0" fontId="48" fillId="0" borderId="48" xfId="44" applyFont="1" applyBorder="1" applyAlignment="1">
      <alignment horizontal="center"/>
    </xf>
    <xf numFmtId="0" fontId="0" fillId="0" borderId="49" xfId="44" applyFont="1" applyBorder="1"/>
    <xf numFmtId="0" fontId="51" fillId="0" borderId="0" xfId="49" applyFont="1" applyAlignment="1">
      <alignment horizontal="center" vertical="center"/>
    </xf>
    <xf numFmtId="0" fontId="52" fillId="0" borderId="0" xfId="54" applyFont="1" applyAlignment="1">
      <alignment horizontal="center" vertical="center"/>
    </xf>
    <xf numFmtId="0" fontId="53" fillId="0" borderId="0" xfId="54" applyFont="1" applyAlignment="1">
      <alignment horizontal="center"/>
    </xf>
    <xf numFmtId="0" fontId="48" fillId="0" borderId="0" xfId="54" applyFont="1" applyAlignment="1">
      <alignment horizontal="center" vertical="center"/>
    </xf>
    <xf numFmtId="0" fontId="20" fillId="0" borderId="0" xfId="54" applyFont="1" applyAlignment="1">
      <alignment horizontal="right"/>
    </xf>
    <xf numFmtId="0" fontId="20" fillId="0" borderId="0" xfId="54" applyFont="1" applyAlignment="1">
      <alignment horizontal="center"/>
    </xf>
    <xf numFmtId="0" fontId="20" fillId="0" borderId="0" xfId="54" applyFont="1"/>
    <xf numFmtId="0" fontId="0" fillId="0" borderId="0" xfId="49" applyFont="1" applyAlignment="1">
      <alignment horizontal="center"/>
    </xf>
    <xf numFmtId="0" fontId="0" fillId="0" borderId="0" xfId="49" applyFont="1"/>
    <xf numFmtId="0" fontId="0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 wrapText="1"/>
    </xf>
    <xf numFmtId="0" fontId="48" fillId="0" borderId="12" xfId="49" applyFont="1" applyBorder="1" applyAlignment="1">
      <alignment horizontal="center" vertical="top" wrapText="1"/>
    </xf>
    <xf numFmtId="0" fontId="48" fillId="0" borderId="12" xfId="49" applyFont="1" applyBorder="1" applyAlignment="1">
      <alignment horizontal="center" vertical="center" wrapText="1"/>
    </xf>
    <xf numFmtId="0" fontId="68" fillId="0" borderId="0" xfId="49" applyFont="1" applyAlignment="1">
      <alignment horizontal="center" vertical="center" wrapText="1"/>
    </xf>
    <xf numFmtId="0" fontId="69" fillId="0" borderId="12" xfId="49" applyFont="1" applyBorder="1" applyAlignment="1">
      <alignment horizontal="center" vertical="top" wrapText="1"/>
    </xf>
    <xf numFmtId="0" fontId="69" fillId="0" borderId="12" xfId="49" applyFont="1" applyBorder="1" applyAlignment="1">
      <alignment horizontal="center" vertical="center" wrapText="1"/>
    </xf>
    <xf numFmtId="0" fontId="20" fillId="0" borderId="0" xfId="54" applyFont="1" applyAlignment="1">
      <alignment horizontal="center" vertical="center"/>
    </xf>
    <xf numFmtId="0" fontId="20" fillId="0" borderId="0" xfId="54" applyFont="1" applyAlignment="1">
      <alignment horizontal="left" vertical="center"/>
    </xf>
    <xf numFmtId="0" fontId="52" fillId="0" borderId="0" xfId="54" applyFont="1" applyAlignment="1">
      <alignment horizontal="left" vertical="center"/>
    </xf>
    <xf numFmtId="0" fontId="52" fillId="0" borderId="12" xfId="49" applyFont="1" applyBorder="1" applyAlignment="1">
      <alignment horizontal="center" vertical="center"/>
    </xf>
    <xf numFmtId="0" fontId="58" fillId="0" borderId="14" xfId="49" applyFont="1" applyBorder="1"/>
    <xf numFmtId="0" fontId="70" fillId="0" borderId="18" xfId="0" applyFont="1" applyBorder="1" applyAlignment="1">
      <alignment horizontal="center"/>
    </xf>
    <xf numFmtId="49" fontId="52" fillId="0" borderId="18" xfId="49" applyNumberFormat="1" applyFont="1" applyBorder="1" applyAlignment="1">
      <alignment horizontal="right" vertical="center"/>
    </xf>
    <xf numFmtId="0" fontId="52" fillId="0" borderId="12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71" fillId="0" borderId="0" xfId="0" applyFont="1" applyAlignment="1">
      <alignment horizontal="center"/>
    </xf>
    <xf numFmtId="0" fontId="55" fillId="0" borderId="42" xfId="49" applyFont="1" applyBorder="1"/>
    <xf numFmtId="0" fontId="51" fillId="0" borderId="28" xfId="0" applyFont="1" applyBorder="1" applyAlignment="1">
      <alignment horizontal="center"/>
    </xf>
    <xf numFmtId="0" fontId="52" fillId="0" borderId="12" xfId="0" applyFont="1" applyBorder="1" applyAlignment="1">
      <alignment horizontal="center" vertical="center"/>
    </xf>
    <xf numFmtId="0" fontId="51" fillId="0" borderId="10" xfId="49" applyFont="1" applyBorder="1" applyAlignment="1">
      <alignment horizontal="center" vertical="center"/>
    </xf>
    <xf numFmtId="49" fontId="52" fillId="0" borderId="18" xfId="49" applyNumberFormat="1" applyFont="1" applyBorder="1" applyAlignment="1">
      <alignment horizontal="center"/>
    </xf>
    <xf numFmtId="0" fontId="51" fillId="0" borderId="18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/>
    </xf>
    <xf numFmtId="0" fontId="51" fillId="0" borderId="16" xfId="0" applyFont="1" applyBorder="1">
      <alignment vertical="center"/>
    </xf>
    <xf numFmtId="0" fontId="51" fillId="0" borderId="44" xfId="49" applyFont="1" applyBorder="1" applyAlignment="1">
      <alignment horizontal="center" vertical="center"/>
    </xf>
    <xf numFmtId="0" fontId="52" fillId="0" borderId="31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8" fillId="0" borderId="42" xfId="49" applyFont="1" applyBorder="1"/>
    <xf numFmtId="0" fontId="52" fillId="0" borderId="27" xfId="49" applyFont="1" applyBorder="1" applyAlignment="1">
      <alignment horizontal="center" vertical="center"/>
    </xf>
    <xf numFmtId="0" fontId="51" fillId="0" borderId="16" xfId="0" applyFont="1" applyBorder="1" applyAlignment="1">
      <alignment horizontal="center"/>
    </xf>
    <xf numFmtId="0" fontId="52" fillId="0" borderId="18" xfId="49" applyFont="1" applyBorder="1"/>
    <xf numFmtId="0" fontId="51" fillId="0" borderId="16" xfId="49" applyFont="1" applyBorder="1" applyAlignment="1">
      <alignment horizontal="center"/>
    </xf>
    <xf numFmtId="49" fontId="55" fillId="0" borderId="42" xfId="49" applyNumberFormat="1" applyFont="1" applyBorder="1" applyAlignment="1">
      <alignment horizontal="left"/>
    </xf>
    <xf numFmtId="0" fontId="51" fillId="0" borderId="11" xfId="0" applyFont="1" applyBorder="1">
      <alignment vertical="center"/>
    </xf>
    <xf numFmtId="0" fontId="51" fillId="0" borderId="10" xfId="0" applyFont="1" applyBorder="1" applyAlignment="1">
      <alignment horizontal="center"/>
    </xf>
    <xf numFmtId="0" fontId="52" fillId="0" borderId="18" xfId="0" applyFont="1" applyBorder="1" applyAlignment="1">
      <alignment horizontal="center"/>
    </xf>
    <xf numFmtId="0" fontId="70" fillId="0" borderId="28" xfId="0" applyFont="1" applyBorder="1" applyAlignment="1">
      <alignment horizontal="center"/>
    </xf>
    <xf numFmtId="0" fontId="58" fillId="0" borderId="18" xfId="0" applyFont="1" applyBorder="1" applyAlignment="1">
      <alignment horizontal="center" vertical="center"/>
    </xf>
    <xf numFmtId="0" fontId="52" fillId="0" borderId="0" xfId="0" applyFont="1" applyAlignment="1">
      <alignment horizontal="center"/>
    </xf>
    <xf numFmtId="0" fontId="55" fillId="0" borderId="0" xfId="49" applyFont="1" applyAlignment="1">
      <alignment horizontal="center" vertical="center"/>
    </xf>
    <xf numFmtId="49" fontId="57" fillId="0" borderId="0" xfId="49" applyNumberFormat="1" applyFont="1" applyAlignment="1">
      <alignment horizontal="center"/>
    </xf>
    <xf numFmtId="49" fontId="52" fillId="0" borderId="18" xfId="49" applyNumberFormat="1" applyFont="1" applyBorder="1" applyAlignment="1">
      <alignment horizontal="right"/>
    </xf>
    <xf numFmtId="0" fontId="52" fillId="0" borderId="12" xfId="0" applyFont="1" applyBorder="1" applyAlignment="1">
      <alignment horizontal="left"/>
    </xf>
    <xf numFmtId="49" fontId="57" fillId="0" borderId="18" xfId="49" applyNumberFormat="1" applyFont="1" applyBorder="1" applyAlignment="1">
      <alignment horizontal="center"/>
    </xf>
    <xf numFmtId="0" fontId="51" fillId="0" borderId="0" xfId="0" applyFont="1" applyAlignment="1">
      <alignment horizontal="left"/>
    </xf>
    <xf numFmtId="0" fontId="71" fillId="0" borderId="18" xfId="0" applyFont="1" applyBorder="1" applyAlignment="1">
      <alignment horizontal="left"/>
    </xf>
    <xf numFmtId="0" fontId="52" fillId="0" borderId="29" xfId="49" applyFont="1" applyBorder="1" applyAlignment="1">
      <alignment horizontal="center" vertical="center"/>
    </xf>
    <xf numFmtId="0" fontId="51" fillId="0" borderId="14" xfId="49" applyFont="1" applyBorder="1" applyAlignment="1">
      <alignment horizontal="center" vertical="center"/>
    </xf>
    <xf numFmtId="0" fontId="51" fillId="0" borderId="18" xfId="49" applyFont="1" applyBorder="1" applyAlignment="1">
      <alignment horizontal="center" vertical="center"/>
    </xf>
    <xf numFmtId="0" fontId="70" fillId="0" borderId="0" xfId="0" applyFont="1" applyAlignment="1">
      <alignment horizontal="center"/>
    </xf>
    <xf numFmtId="0" fontId="48" fillId="0" borderId="27" xfId="44" applyFont="1" applyBorder="1" applyAlignment="1">
      <alignment horizontal="center" vertical="center"/>
    </xf>
    <xf numFmtId="0" fontId="52" fillId="0" borderId="18" xfId="49" applyFont="1" applyBorder="1" applyAlignment="1">
      <alignment horizontal="right" vertical="center"/>
    </xf>
    <xf numFmtId="0" fontId="52" fillId="0" borderId="27" xfId="0" applyFont="1" applyBorder="1" applyAlignment="1">
      <alignment horizontal="center"/>
    </xf>
    <xf numFmtId="0" fontId="52" fillId="0" borderId="29" xfId="0" applyFont="1" applyBorder="1" applyAlignment="1">
      <alignment horizontal="center" vertical="center"/>
    </xf>
    <xf numFmtId="0" fontId="60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49" fontId="52" fillId="0" borderId="12" xfId="49" applyNumberFormat="1" applyFont="1" applyBorder="1" applyAlignment="1">
      <alignment horizontal="center" vertical="center"/>
    </xf>
    <xf numFmtId="0" fontId="55" fillId="0" borderId="0" xfId="0" applyFont="1" applyAlignment="1">
      <alignment horizontal="right"/>
    </xf>
    <xf numFmtId="0" fontId="0" fillId="0" borderId="0" xfId="44" applyFont="1" applyAlignment="1">
      <alignment horizontal="center" vertical="center"/>
    </xf>
    <xf numFmtId="0" fontId="30" fillId="0" borderId="0" xfId="50" applyFont="1" applyAlignment="1">
      <alignment horizontal="left"/>
    </xf>
    <xf numFmtId="0" fontId="20" fillId="0" borderId="0" xfId="50" applyFont="1" applyAlignment="1">
      <alignment horizontal="left"/>
    </xf>
    <xf numFmtId="0" fontId="20" fillId="0" borderId="0" xfId="50" applyFont="1"/>
    <xf numFmtId="0" fontId="72" fillId="0" borderId="0" xfId="50" applyFont="1" applyAlignment="1">
      <alignment horizontal="center"/>
    </xf>
    <xf numFmtId="0" fontId="73" fillId="0" borderId="0" xfId="50" applyFont="1" applyAlignment="1">
      <alignment horizontal="center"/>
    </xf>
    <xf numFmtId="0" fontId="48" fillId="0" borderId="12" xfId="50" applyFont="1" applyBorder="1" applyAlignment="1">
      <alignment horizontal="center"/>
    </xf>
    <xf numFmtId="0" fontId="48" fillId="6" borderId="12" xfId="50" applyFont="1" applyFill="1" applyBorder="1" applyAlignment="1">
      <alignment horizontal="center"/>
    </xf>
    <xf numFmtId="0" fontId="21" fillId="0" borderId="12" xfId="52" applyFont="1" applyBorder="1" applyAlignment="1">
      <alignment horizontal="center"/>
    </xf>
    <xf numFmtId="0" fontId="48" fillId="6" borderId="12" xfId="52" applyFont="1" applyFill="1" applyBorder="1" applyAlignment="1">
      <alignment horizontal="center"/>
    </xf>
    <xf numFmtId="0" fontId="48" fillId="0" borderId="11" xfId="46" applyFont="1" applyBorder="1" applyAlignment="1">
      <alignment horizontal="center"/>
    </xf>
    <xf numFmtId="0" fontId="48" fillId="4" borderId="13" xfId="46" applyFont="1" applyFill="1" applyBorder="1" applyAlignment="1">
      <alignment horizontal="right"/>
    </xf>
    <xf numFmtId="0" fontId="48" fillId="6" borderId="13" xfId="46" applyFont="1" applyFill="1" applyBorder="1" applyAlignment="1">
      <alignment horizontal="left"/>
    </xf>
    <xf numFmtId="0" fontId="48" fillId="0" borderId="44" xfId="46" applyFont="1" applyBorder="1" applyAlignment="1">
      <alignment horizontal="center"/>
    </xf>
    <xf numFmtId="0" fontId="67" fillId="0" borderId="12" xfId="44" applyFont="1" applyBorder="1" applyAlignment="1">
      <alignment horizontal="center"/>
    </xf>
    <xf numFmtId="0" fontId="48" fillId="0" borderId="29" xfId="46" applyFont="1" applyBorder="1" applyAlignment="1">
      <alignment horizontal="center"/>
    </xf>
    <xf numFmtId="0" fontId="48" fillId="4" borderId="17" xfId="46" applyFont="1" applyFill="1" applyBorder="1" applyAlignment="1">
      <alignment horizontal="right"/>
    </xf>
    <xf numFmtId="0" fontId="48" fillId="6" borderId="17" xfId="46" applyFont="1" applyFill="1" applyBorder="1" applyAlignment="1">
      <alignment horizontal="left"/>
    </xf>
    <xf numFmtId="0" fontId="48" fillId="0" borderId="0" xfId="46" applyFont="1" applyAlignment="1">
      <alignment horizontal="center"/>
    </xf>
    <xf numFmtId="0" fontId="48" fillId="0" borderId="0" xfId="46" applyFont="1" applyBorder="1" applyAlignment="1">
      <alignment horizontal="center"/>
    </xf>
    <xf numFmtId="0" fontId="67" fillId="0" borderId="12" xfId="44" applyFont="1" applyBorder="1" applyAlignment="1">
      <alignment horizontal="left"/>
    </xf>
    <xf numFmtId="0" fontId="0" fillId="27" borderId="12" xfId="44" applyFont="1" applyFill="1" applyBorder="1"/>
    <xf numFmtId="0" fontId="48" fillId="27" borderId="12" xfId="44" applyFont="1" applyFill="1" applyBorder="1" applyAlignment="1">
      <alignment horizontal="left"/>
    </xf>
    <xf numFmtId="0" fontId="48" fillId="4" borderId="27" xfId="46" applyFont="1" applyFill="1" applyBorder="1" applyAlignment="1">
      <alignment horizontal="right"/>
    </xf>
    <xf numFmtId="0" fontId="48" fillId="6" borderId="27" xfId="46" applyFont="1" applyFill="1" applyBorder="1" applyAlignment="1">
      <alignment horizontal="left"/>
    </xf>
    <xf numFmtId="0" fontId="48" fillId="0" borderId="10" xfId="46" applyFont="1" applyBorder="1" applyAlignment="1">
      <alignment horizontal="center"/>
    </xf>
    <xf numFmtId="0" fontId="48" fillId="0" borderId="13" xfId="46" applyFont="1" applyBorder="1" applyAlignment="1">
      <alignment horizontal="center"/>
    </xf>
    <xf numFmtId="0" fontId="48" fillId="4" borderId="11" xfId="46" applyFont="1" applyFill="1" applyBorder="1" applyAlignment="1">
      <alignment horizontal="right"/>
    </xf>
    <xf numFmtId="0" fontId="48" fillId="0" borderId="12" xfId="46" applyFont="1" applyBorder="1" applyAlignment="1">
      <alignment horizontal="center"/>
    </xf>
    <xf numFmtId="0" fontId="67" fillId="27" borderId="12" xfId="44" applyFont="1" applyFill="1" applyBorder="1" applyAlignment="1">
      <alignment horizontal="left"/>
    </xf>
    <xf numFmtId="0" fontId="48" fillId="4" borderId="0" xfId="46" applyFont="1" applyFill="1" applyAlignment="1">
      <alignment horizontal="right"/>
    </xf>
    <xf numFmtId="0" fontId="48" fillId="6" borderId="16" xfId="46" applyFont="1" applyFill="1" applyBorder="1" applyAlignment="1">
      <alignment horizontal="left"/>
    </xf>
    <xf numFmtId="0" fontId="48" fillId="0" borderId="16" xfId="46" applyFont="1" applyBorder="1" applyAlignment="1">
      <alignment horizontal="center"/>
    </xf>
    <xf numFmtId="0" fontId="67" fillId="0" borderId="0" xfId="44" applyFont="1" applyAlignment="1">
      <alignment horizontal="left"/>
    </xf>
    <xf numFmtId="0" fontId="48" fillId="4" borderId="18" xfId="46" applyFont="1" applyFill="1" applyBorder="1" applyAlignment="1">
      <alignment horizontal="right"/>
    </xf>
    <xf numFmtId="0" fontId="48" fillId="0" borderId="28" xfId="46" applyFont="1" applyBorder="1" applyAlignment="1">
      <alignment horizontal="center"/>
    </xf>
    <xf numFmtId="0" fontId="48" fillId="4" borderId="16" xfId="46" applyFont="1" applyFill="1" applyBorder="1" applyAlignment="1">
      <alignment horizontal="right"/>
    </xf>
    <xf numFmtId="0" fontId="48" fillId="4" borderId="28" xfId="46" applyFont="1" applyFill="1" applyBorder="1" applyAlignment="1">
      <alignment horizontal="right"/>
    </xf>
    <xf numFmtId="0" fontId="29" fillId="0" borderId="10" xfId="0" applyFont="1" applyBorder="1">
      <alignment vertical="center"/>
    </xf>
    <xf numFmtId="0" fontId="38" fillId="0" borderId="1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41" fillId="7" borderId="50" xfId="0" applyFont="1" applyFill="1" applyBorder="1" applyAlignment="1">
      <alignment horizontal="center" vertical="center" wrapText="1"/>
    </xf>
    <xf numFmtId="0" fontId="42" fillId="7" borderId="21" xfId="0" applyFont="1" applyFill="1" applyBorder="1" applyAlignment="1">
      <alignment horizontal="center" vertical="center"/>
    </xf>
    <xf numFmtId="0" fontId="46" fillId="16" borderId="21" xfId="0" applyFont="1" applyFill="1" applyBorder="1" applyAlignment="1">
      <alignment horizontal="center" vertical="center"/>
    </xf>
    <xf numFmtId="0" fontId="43" fillId="16" borderId="21" xfId="0" applyFont="1" applyFill="1" applyBorder="1" applyAlignment="1">
      <alignment horizontal="center" vertical="center"/>
    </xf>
    <xf numFmtId="0" fontId="74" fillId="24" borderId="23" xfId="0" applyFont="1" applyFill="1" applyBorder="1" applyAlignment="1">
      <alignment horizontal="center" vertical="center"/>
    </xf>
    <xf numFmtId="0" fontId="41" fillId="7" borderId="51" xfId="0" applyFont="1" applyFill="1" applyBorder="1" applyAlignment="1">
      <alignment horizontal="center" vertical="center"/>
    </xf>
    <xf numFmtId="0" fontId="42" fillId="7" borderId="12" xfId="0" applyFont="1" applyFill="1" applyBorder="1" applyAlignment="1">
      <alignment horizontal="center" vertical="center"/>
    </xf>
    <xf numFmtId="0" fontId="46" fillId="16" borderId="27" xfId="0" applyFont="1" applyFill="1" applyBorder="1" applyAlignment="1">
      <alignment horizontal="center" vertical="center"/>
    </xf>
    <xf numFmtId="0" fontId="43" fillId="16" borderId="27" xfId="0" applyFont="1" applyFill="1" applyBorder="1" applyAlignment="1">
      <alignment horizontal="center" vertical="center"/>
    </xf>
    <xf numFmtId="0" fontId="74" fillId="24" borderId="30" xfId="0" applyFont="1" applyFill="1" applyBorder="1" applyAlignment="1">
      <alignment horizontal="center" vertical="center"/>
    </xf>
    <xf numFmtId="0" fontId="41" fillId="7" borderId="51" xfId="0" applyFont="1" applyFill="1" applyBorder="1" applyAlignment="1">
      <alignment horizontal="center" vertical="center" wrapText="1"/>
    </xf>
    <xf numFmtId="0" fontId="41" fillId="7" borderId="33" xfId="0" applyFont="1" applyFill="1" applyBorder="1" applyAlignment="1">
      <alignment horizontal="center" vertical="center" wrapText="1"/>
    </xf>
    <xf numFmtId="0" fontId="42" fillId="7" borderId="34" xfId="0" applyFont="1" applyFill="1" applyBorder="1" applyAlignment="1">
      <alignment horizontal="center" vertical="center"/>
    </xf>
    <xf numFmtId="0" fontId="46" fillId="16" borderId="35" xfId="0" applyFont="1" applyFill="1" applyBorder="1" applyAlignment="1">
      <alignment horizontal="center" vertical="center"/>
    </xf>
    <xf numFmtId="0" fontId="43" fillId="16" borderId="35" xfId="0" applyFont="1" applyFill="1" applyBorder="1" applyAlignment="1">
      <alignment horizontal="center" vertical="center"/>
    </xf>
    <xf numFmtId="0" fontId="74" fillId="24" borderId="38" xfId="0" applyFont="1" applyFill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wrapText="1"/>
    </xf>
    <xf numFmtId="0" fontId="47" fillId="0" borderId="31" xfId="0" applyFont="1" applyBorder="1" applyAlignment="1">
      <alignment horizontal="center" vertical="center"/>
    </xf>
    <xf numFmtId="0" fontId="45" fillId="24" borderId="41" xfId="0" applyFont="1" applyFill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41" fillId="16" borderId="27" xfId="0" applyFont="1" applyFill="1" applyBorder="1" applyAlignment="1">
      <alignment horizontal="center" vertical="center"/>
    </xf>
    <xf numFmtId="0" fontId="41" fillId="16" borderId="12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5" fillId="0" borderId="0" xfId="54" applyFont="1" applyAlignment="1">
      <alignment horizontal="left"/>
    </xf>
    <xf numFmtId="0" fontId="55" fillId="0" borderId="12" xfId="49" applyFont="1" applyBorder="1" applyAlignment="1">
      <alignment horizontal="center"/>
    </xf>
    <xf numFmtId="0" fontId="52" fillId="0" borderId="18" xfId="49" applyFont="1" applyBorder="1" applyAlignment="1">
      <alignment horizontal="left"/>
    </xf>
    <xf numFmtId="0" fontId="51" fillId="0" borderId="0" xfId="49" applyFont="1" applyAlignment="1">
      <alignment horizontal="right"/>
    </xf>
    <xf numFmtId="0" fontId="52" fillId="0" borderId="42" xfId="49" applyFont="1" applyBorder="1"/>
    <xf numFmtId="0" fontId="55" fillId="0" borderId="17" xfId="49" applyFont="1" applyBorder="1" applyAlignment="1">
      <alignment horizontal="center"/>
    </xf>
    <xf numFmtId="0" fontId="52" fillId="0" borderId="18" xfId="49" applyFont="1" applyBorder="1" applyAlignment="1">
      <alignment horizontal="center"/>
    </xf>
    <xf numFmtId="0" fontId="51" fillId="0" borderId="11" xfId="49" applyFont="1" applyBorder="1" applyAlignment="1">
      <alignment horizontal="center"/>
    </xf>
    <xf numFmtId="0" fontId="51" fillId="0" borderId="12" xfId="49" applyFont="1" applyBorder="1"/>
    <xf numFmtId="0" fontId="57" fillId="0" borderId="14" xfId="49" applyFont="1" applyBorder="1" applyAlignment="1">
      <alignment horizontal="center"/>
    </xf>
    <xf numFmtId="178" fontId="56" fillId="0" borderId="18" xfId="49" applyNumberFormat="1" applyFont="1" applyBorder="1" applyAlignment="1">
      <alignment horizontal="center"/>
    </xf>
    <xf numFmtId="0" fontId="59" fillId="0" borderId="42" xfId="49" applyFont="1" applyBorder="1" applyAlignment="1">
      <alignment horizontal="center"/>
    </xf>
    <xf numFmtId="0" fontId="54" fillId="0" borderId="0" xfId="50" applyFont="1" applyAlignment="1">
      <alignment horizontal="left"/>
    </xf>
    <xf numFmtId="0" fontId="76" fillId="0" borderId="0" xfId="50" applyFont="1" applyAlignment="1">
      <alignment horizontal="center"/>
    </xf>
    <xf numFmtId="0" fontId="77" fillId="0" borderId="0" xfId="50" applyFont="1"/>
    <xf numFmtId="0" fontId="78" fillId="0" borderId="0" xfId="50" applyFont="1" applyAlignment="1">
      <alignment horizontal="left"/>
    </xf>
    <xf numFmtId="0" fontId="21" fillId="0" borderId="12" xfId="50" applyFont="1" applyBorder="1" applyAlignment="1">
      <alignment horizontal="center"/>
    </xf>
    <xf numFmtId="0" fontId="21" fillId="0" borderId="31" xfId="50" applyFont="1" applyBorder="1" applyAlignment="1">
      <alignment horizontal="center"/>
    </xf>
    <xf numFmtId="0" fontId="48" fillId="6" borderId="29" xfId="50" applyFont="1" applyFill="1" applyBorder="1" applyAlignment="1">
      <alignment horizontal="center"/>
    </xf>
    <xf numFmtId="0" fontId="48" fillId="0" borderId="31" xfId="50" applyFont="1" applyBorder="1" applyAlignment="1">
      <alignment horizontal="center"/>
    </xf>
    <xf numFmtId="0" fontId="48" fillId="0" borderId="16" xfId="50" applyFont="1" applyBorder="1" applyAlignment="1">
      <alignment horizontal="center"/>
    </xf>
    <xf numFmtId="0" fontId="20" fillId="0" borderId="17" xfId="50" applyFont="1" applyBorder="1"/>
    <xf numFmtId="0" fontId="21" fillId="0" borderId="12" xfId="53" applyFont="1" applyBorder="1" applyAlignment="1">
      <alignment horizontal="center"/>
    </xf>
    <xf numFmtId="0" fontId="48" fillId="6" borderId="29" xfId="53" applyFont="1" applyFill="1" applyBorder="1" applyAlignment="1">
      <alignment horizontal="center"/>
    </xf>
    <xf numFmtId="0" fontId="21" fillId="0" borderId="31" xfId="53" applyFont="1" applyBorder="1" applyAlignment="1">
      <alignment horizontal="center"/>
    </xf>
    <xf numFmtId="0" fontId="20" fillId="0" borderId="29" xfId="53" applyFont="1" applyBorder="1" applyAlignment="1">
      <alignment horizontal="center"/>
    </xf>
    <xf numFmtId="0" fontId="48" fillId="0" borderId="0" xfId="44" applyFont="1" applyBorder="1" applyAlignment="1">
      <alignment horizontal="center"/>
    </xf>
    <xf numFmtId="0" fontId="48" fillId="0" borderId="28" xfId="44" applyFont="1" applyBorder="1" applyAlignment="1">
      <alignment horizontal="center"/>
    </xf>
    <xf numFmtId="0" fontId="48" fillId="0" borderId="10" xfId="44" applyFont="1" applyBorder="1" applyAlignment="1">
      <alignment horizontal="center"/>
    </xf>
    <xf numFmtId="0" fontId="48" fillId="0" borderId="0" xfId="44" applyFont="1" applyAlignment="1">
      <alignment horizontal="center"/>
    </xf>
    <xf numFmtId="0" fontId="79" fillId="0" borderId="0" xfId="54" applyFont="1" applyAlignment="1">
      <alignment horizontal="left"/>
    </xf>
    <xf numFmtId="0" fontId="48" fillId="0" borderId="0" xfId="54" applyFont="1" applyAlignment="1">
      <alignment horizontal="left"/>
    </xf>
    <xf numFmtId="0" fontId="0" fillId="0" borderId="0" xfId="49" applyFont="1" applyAlignment="1">
      <alignment horizontal="left"/>
    </xf>
    <xf numFmtId="0" fontId="0" fillId="0" borderId="0" xfId="49" applyFont="1" applyAlignment="1">
      <alignment horizontal="right"/>
    </xf>
    <xf numFmtId="0" fontId="48" fillId="0" borderId="29" xfId="49" applyFont="1" applyBorder="1" applyAlignment="1">
      <alignment horizontal="center" vertical="top" wrapText="1"/>
    </xf>
    <xf numFmtId="0" fontId="0" fillId="0" borderId="0" xfId="49" applyFont="1" applyAlignment="1">
      <alignment horizontal="center" vertical="top" wrapText="1"/>
    </xf>
    <xf numFmtId="0" fontId="69" fillId="0" borderId="27" xfId="49" applyFont="1" applyBorder="1" applyAlignment="1">
      <alignment horizontal="center" vertical="center" wrapText="1"/>
    </xf>
    <xf numFmtId="0" fontId="68" fillId="0" borderId="0" xfId="49" applyFont="1" applyAlignment="1">
      <alignment horizontal="center" vertical="top" wrapText="1"/>
    </xf>
    <xf numFmtId="0" fontId="68" fillId="0" borderId="0" xfId="49" applyFont="1" applyBorder="1" applyAlignment="1">
      <alignment horizontal="center" vertical="center" wrapText="1"/>
    </xf>
    <xf numFmtId="0" fontId="21" fillId="0" borderId="0" xfId="54" applyFont="1" applyAlignment="1">
      <alignment horizontal="left"/>
    </xf>
    <xf numFmtId="0" fontId="29" fillId="0" borderId="13" xfId="44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0" fillId="0" borderId="0" xfId="0" applyFont="1" applyBorder="1">
      <alignment vertical="center"/>
    </xf>
    <xf numFmtId="0" fontId="51" fillId="0" borderId="0" xfId="49" applyFont="1" applyBorder="1"/>
    <xf numFmtId="0" fontId="84" fillId="0" borderId="18" xfId="0" applyFont="1" applyBorder="1" applyAlignment="1">
      <alignment horizontal="center"/>
    </xf>
    <xf numFmtId="0" fontId="51" fillId="0" borderId="52" xfId="49" applyFont="1" applyBorder="1"/>
    <xf numFmtId="0" fontId="85" fillId="0" borderId="0" xfId="0" applyFont="1" applyAlignment="1">
      <alignment horizontal="center"/>
    </xf>
    <xf numFmtId="0" fontId="86" fillId="0" borderId="0" xfId="49" applyFont="1" applyAlignment="1">
      <alignment horizontal="center"/>
    </xf>
    <xf numFmtId="49" fontId="87" fillId="0" borderId="18" xfId="49" applyNumberFormat="1" applyFont="1" applyBorder="1" applyAlignment="1">
      <alignment horizontal="center"/>
    </xf>
    <xf numFmtId="0" fontId="51" fillId="0" borderId="53" xfId="49" applyFont="1" applyBorder="1"/>
    <xf numFmtId="0" fontId="54" fillId="0" borderId="12" xfId="44" applyFont="1" applyBorder="1" applyAlignment="1">
      <alignment horizontal="center" vertical="center"/>
    </xf>
    <xf numFmtId="0" fontId="88" fillId="0" borderId="0" xfId="49" applyFont="1"/>
    <xf numFmtId="0" fontId="48" fillId="0" borderId="14" xfId="0" applyFont="1" applyBorder="1">
      <alignment vertical="center"/>
    </xf>
    <xf numFmtId="0" fontId="51" fillId="0" borderId="42" xfId="0" applyFont="1" applyBorder="1" applyAlignment="1">
      <alignment horizontal="center"/>
    </xf>
    <xf numFmtId="0" fontId="89" fillId="0" borderId="0" xfId="0" applyFont="1" applyAlignment="1">
      <alignment horizontal="center"/>
    </xf>
    <xf numFmtId="0" fontId="90" fillId="0" borderId="18" xfId="0" applyFont="1" applyBorder="1" applyAlignment="1">
      <alignment horizontal="center" vertical="center"/>
    </xf>
    <xf numFmtId="0" fontId="0" fillId="0" borderId="54" xfId="0" applyFont="1" applyBorder="1">
      <alignment vertical="center"/>
    </xf>
    <xf numFmtId="0" fontId="54" fillId="0" borderId="31" xfId="44" applyFont="1" applyBorder="1" applyAlignment="1">
      <alignment horizontal="center" vertical="center"/>
    </xf>
    <xf numFmtId="0" fontId="88" fillId="0" borderId="0" xfId="0" applyFont="1">
      <alignment vertical="center"/>
    </xf>
    <xf numFmtId="0" fontId="0" fillId="0" borderId="18" xfId="0" applyFont="1" applyBorder="1">
      <alignment vertical="center"/>
    </xf>
    <xf numFmtId="0" fontId="0" fillId="0" borderId="44" xfId="0" applyFont="1" applyBorder="1">
      <alignment vertical="center"/>
    </xf>
    <xf numFmtId="0" fontId="88" fillId="0" borderId="0" xfId="49" applyFont="1" applyAlignment="1">
      <alignment horizontal="center"/>
    </xf>
    <xf numFmtId="0" fontId="88" fillId="0" borderId="0" xfId="0" applyFont="1" applyAlignment="1">
      <alignment horizontal="center"/>
    </xf>
    <xf numFmtId="0" fontId="0" fillId="0" borderId="42" xfId="0" applyFont="1" applyBorder="1">
      <alignment vertical="center"/>
    </xf>
    <xf numFmtId="0" fontId="57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0" fontId="48" fillId="0" borderId="44" xfId="0" applyFont="1" applyBorder="1">
      <alignment vertical="center"/>
    </xf>
    <xf numFmtId="0" fontId="92" fillId="0" borderId="0" xfId="0" applyFont="1" applyAlignment="1">
      <alignment horizontal="center"/>
    </xf>
    <xf numFmtId="0" fontId="55" fillId="0" borderId="13" xfId="49" applyFont="1" applyBorder="1" applyAlignment="1">
      <alignment horizontal="center"/>
    </xf>
    <xf numFmtId="0" fontId="51" fillId="0" borderId="11" xfId="0" applyFont="1" applyBorder="1" applyAlignment="1">
      <alignment horizontal="center" vertical="center"/>
    </xf>
    <xf numFmtId="0" fontId="29" fillId="0" borderId="18" xfId="44" applyFont="1" applyBorder="1" applyAlignment="1">
      <alignment horizontal="center"/>
    </xf>
    <xf numFmtId="0" fontId="56" fillId="0" borderId="28" xfId="0" applyFont="1" applyBorder="1" applyAlignment="1">
      <alignment horizontal="center"/>
    </xf>
    <xf numFmtId="0" fontId="52" fillId="0" borderId="11" xfId="0" applyFont="1" applyBorder="1" applyAlignment="1">
      <alignment horizontal="center"/>
    </xf>
    <xf numFmtId="49" fontId="87" fillId="0" borderId="0" xfId="49" applyNumberFormat="1" applyFont="1" applyAlignment="1">
      <alignment horizontal="center"/>
    </xf>
    <xf numFmtId="0" fontId="93" fillId="0" borderId="0" xfId="0" applyFont="1" applyAlignment="1">
      <alignment horizontal="center"/>
    </xf>
    <xf numFmtId="0" fontId="51" fillId="0" borderId="0" xfId="0" applyFont="1" applyAlignment="1">
      <alignment horizontal="right" vertical="center"/>
    </xf>
    <xf numFmtId="0" fontId="94" fillId="0" borderId="18" xfId="0" applyFont="1" applyBorder="1">
      <alignment vertical="center"/>
    </xf>
    <xf numFmtId="49" fontId="48" fillId="0" borderId="18" xfId="49" applyNumberFormat="1" applyFont="1" applyBorder="1" applyAlignment="1">
      <alignment horizontal="right" vertical="center"/>
    </xf>
    <xf numFmtId="0" fontId="0" fillId="0" borderId="0" xfId="0" applyFont="1" applyAlignment="1"/>
    <xf numFmtId="0" fontId="86" fillId="0" borderId="0" xfId="0" applyFont="1" applyAlignment="1">
      <alignment horizontal="center" vertical="center"/>
    </xf>
    <xf numFmtId="0" fontId="51" fillId="0" borderId="0" xfId="0" applyFont="1" applyAlignment="1"/>
    <xf numFmtId="0" fontId="0" fillId="0" borderId="0" xfId="0" applyFont="1" applyAlignment="1">
      <alignment horizontal="center"/>
    </xf>
    <xf numFmtId="0" fontId="95" fillId="0" borderId="0" xfId="0" applyFont="1">
      <alignment vertical="center"/>
    </xf>
    <xf numFmtId="0" fontId="96" fillId="0" borderId="0" xfId="0" applyFont="1">
      <alignment vertical="center"/>
    </xf>
    <xf numFmtId="0" fontId="89" fillId="0" borderId="0" xfId="0" applyFont="1">
      <alignment vertical="center"/>
    </xf>
    <xf numFmtId="49" fontId="94" fillId="0" borderId="18" xfId="49" applyNumberFormat="1" applyFont="1" applyBorder="1" applyAlignment="1">
      <alignment horizontal="center"/>
    </xf>
    <xf numFmtId="178" fontId="56" fillId="0" borderId="0" xfId="49" applyNumberFormat="1" applyFont="1" applyAlignment="1">
      <alignment horizontal="center"/>
    </xf>
    <xf numFmtId="0" fontId="51" fillId="0" borderId="28" xfId="49" applyFont="1" applyBorder="1" applyAlignment="1">
      <alignment horizontal="center" vertical="center"/>
    </xf>
    <xf numFmtId="0" fontId="52" fillId="0" borderId="0" xfId="49" applyFont="1" applyBorder="1" applyAlignment="1">
      <alignment horizontal="center"/>
    </xf>
    <xf numFmtId="0" fontId="29" fillId="0" borderId="0" xfId="44" applyFont="1" applyAlignment="1">
      <alignment horizontal="center"/>
    </xf>
    <xf numFmtId="0" fontId="48" fillId="0" borderId="18" xfId="0" applyFont="1" applyBorder="1">
      <alignment vertical="center"/>
    </xf>
    <xf numFmtId="0" fontId="60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2" fillId="0" borderId="42" xfId="49" applyFont="1" applyBorder="1" applyAlignment="1">
      <alignment horizontal="center" vertical="center"/>
    </xf>
    <xf numFmtId="0" fontId="55" fillId="0" borderId="0" xfId="49" applyFont="1" applyAlignment="1">
      <alignment horizontal="left"/>
    </xf>
    <xf numFmtId="0" fontId="98" fillId="0" borderId="0" xfId="0" applyFont="1">
      <alignment vertical="center"/>
    </xf>
    <xf numFmtId="0" fontId="99" fillId="0" borderId="0" xfId="0" applyFont="1">
      <alignment vertical="center"/>
    </xf>
    <xf numFmtId="0" fontId="100" fillId="0" borderId="0" xfId="0" applyFont="1">
      <alignment vertical="center"/>
    </xf>
    <xf numFmtId="0" fontId="55" fillId="0" borderId="0" xfId="44" applyFont="1"/>
    <xf numFmtId="0" fontId="29" fillId="0" borderId="0" xfId="44" applyFont="1"/>
    <xf numFmtId="0" fontId="48" fillId="0" borderId="11" xfId="50" applyFont="1" applyBorder="1" applyAlignment="1">
      <alignment horizontal="center"/>
    </xf>
    <xf numFmtId="0" fontId="20" fillId="0" borderId="13" xfId="50" applyFont="1" applyBorder="1"/>
    <xf numFmtId="0" fontId="0" fillId="0" borderId="27" xfId="44" applyFont="1" applyBorder="1" applyAlignment="1">
      <alignment horizontal="center"/>
    </xf>
    <xf numFmtId="0" fontId="20" fillId="0" borderId="29" xfId="52" applyFont="1" applyBorder="1" applyAlignment="1">
      <alignment horizontal="center"/>
    </xf>
    <xf numFmtId="0" fontId="48" fillId="0" borderId="13" xfId="47" applyFont="1" applyBorder="1" applyAlignment="1">
      <alignment horizontal="center"/>
    </xf>
    <xf numFmtId="0" fontId="48" fillId="4" borderId="16" xfId="46" applyFont="1" applyFill="1" applyBorder="1" applyAlignment="1">
      <alignment horizontal="center"/>
    </xf>
    <xf numFmtId="0" fontId="48" fillId="6" borderId="16" xfId="46" applyFont="1" applyFill="1" applyBorder="1" applyAlignment="1">
      <alignment horizontal="center"/>
    </xf>
    <xf numFmtId="0" fontId="48" fillId="0" borderId="12" xfId="47" applyFont="1" applyBorder="1" applyAlignment="1">
      <alignment horizontal="center"/>
    </xf>
    <xf numFmtId="0" fontId="48" fillId="0" borderId="13" xfId="44" applyFont="1" applyBorder="1"/>
    <xf numFmtId="0" fontId="0" fillId="0" borderId="13" xfId="44" applyFont="1" applyBorder="1" applyAlignment="1">
      <alignment horizontal="left"/>
    </xf>
    <xf numFmtId="0" fontId="48" fillId="4" borderId="27" xfId="46" applyFont="1" applyFill="1" applyBorder="1" applyAlignment="1">
      <alignment horizontal="center"/>
    </xf>
    <xf numFmtId="0" fontId="48" fillId="6" borderId="27" xfId="46" applyFont="1" applyFill="1" applyBorder="1" applyAlignment="1">
      <alignment horizontal="center"/>
    </xf>
    <xf numFmtId="0" fontId="21" fillId="0" borderId="12" xfId="44" applyFont="1" applyBorder="1" applyAlignment="1">
      <alignment horizontal="left"/>
    </xf>
    <xf numFmtId="0" fontId="48" fillId="6" borderId="13" xfId="46" applyFont="1" applyFill="1" applyBorder="1" applyAlignment="1">
      <alignment horizontal="center"/>
    </xf>
    <xf numFmtId="0" fontId="101" fillId="0" borderId="13" xfId="44" applyFont="1" applyBorder="1" applyAlignment="1">
      <alignment horizontal="left"/>
    </xf>
    <xf numFmtId="0" fontId="101" fillId="0" borderId="12" xfId="44" applyFont="1" applyBorder="1" applyAlignment="1">
      <alignment horizontal="left"/>
    </xf>
    <xf numFmtId="0" fontId="48" fillId="4" borderId="17" xfId="46" applyFont="1" applyFill="1" applyBorder="1" applyAlignment="1">
      <alignment horizontal="center"/>
    </xf>
    <xf numFmtId="0" fontId="48" fillId="6" borderId="17" xfId="46" applyFont="1" applyFill="1" applyBorder="1" applyAlignment="1">
      <alignment horizontal="center"/>
    </xf>
    <xf numFmtId="0" fontId="48" fillId="4" borderId="13" xfId="46" applyFont="1" applyFill="1" applyBorder="1" applyAlignment="1">
      <alignment horizontal="center"/>
    </xf>
    <xf numFmtId="0" fontId="0" fillId="27" borderId="0" xfId="0" applyFont="1" applyFill="1">
      <alignment vertical="center"/>
    </xf>
    <xf numFmtId="0" fontId="0" fillId="27" borderId="0" xfId="44" applyFont="1" applyFill="1"/>
    <xf numFmtId="0" fontId="48" fillId="0" borderId="12" xfId="0" applyFont="1" applyBorder="1">
      <alignment vertical="center"/>
    </xf>
    <xf numFmtId="0" fontId="48" fillId="0" borderId="12" xfId="0" applyFont="1" applyBorder="1" applyAlignment="1">
      <alignment horizontal="left" vertical="center"/>
    </xf>
    <xf numFmtId="0" fontId="0" fillId="27" borderId="12" xfId="0" applyFont="1" applyFill="1" applyBorder="1">
      <alignment vertical="center"/>
    </xf>
    <xf numFmtId="0" fontId="48" fillId="27" borderId="12" xfId="0" applyFont="1" applyFill="1" applyBorder="1">
      <alignment vertical="center"/>
    </xf>
    <xf numFmtId="0" fontId="0" fillId="0" borderId="0" xfId="44" applyFont="1" applyBorder="1"/>
    <xf numFmtId="0" fontId="0" fillId="0" borderId="14" xfId="44" applyFont="1" applyBorder="1" applyAlignment="1">
      <alignment horizontal="center"/>
    </xf>
    <xf numFmtId="0" fontId="0" fillId="0" borderId="0" xfId="44" applyFont="1" applyBorder="1" applyAlignment="1">
      <alignment horizontal="left"/>
    </xf>
    <xf numFmtId="0" fontId="48" fillId="0" borderId="13" xfId="44" applyFont="1" applyBorder="1" applyAlignment="1">
      <alignment horizontal="left"/>
    </xf>
    <xf numFmtId="0" fontId="21" fillId="0" borderId="12" xfId="44" applyFont="1" applyBorder="1"/>
    <xf numFmtId="0" fontId="48" fillId="0" borderId="12" xfId="44" applyFont="1" applyBorder="1" applyAlignment="1">
      <alignment horizontal="left" vertical="center"/>
    </xf>
    <xf numFmtId="0" fontId="48" fillId="0" borderId="12" xfId="44" applyFont="1" applyBorder="1"/>
    <xf numFmtId="0" fontId="48" fillId="27" borderId="12" xfId="44" applyFont="1" applyFill="1" applyBorder="1"/>
    <xf numFmtId="0" fontId="0" fillId="27" borderId="13" xfId="44" applyFont="1" applyFill="1" applyBorder="1"/>
    <xf numFmtId="0" fontId="48" fillId="27" borderId="13" xfId="44" applyFont="1" applyFill="1" applyBorder="1"/>
    <xf numFmtId="0" fontId="21" fillId="0" borderId="0" xfId="44" applyFont="1"/>
    <xf numFmtId="0" fontId="21" fillId="27" borderId="12" xfId="44" applyFont="1" applyFill="1" applyBorder="1"/>
    <xf numFmtId="0" fontId="0" fillId="0" borderId="0" xfId="45" applyFont="1" applyAlignment="1">
      <alignment vertical="center"/>
    </xf>
    <xf numFmtId="0" fontId="0" fillId="0" borderId="0" xfId="45" applyFont="1" applyAlignment="1">
      <alignment horizontal="center" vertical="center"/>
    </xf>
    <xf numFmtId="0" fontId="87" fillId="0" borderId="0" xfId="45" applyFont="1" applyAlignment="1">
      <alignment horizontal="left" vertical="center"/>
    </xf>
    <xf numFmtId="0" fontId="29" fillId="0" borderId="0" xfId="45" applyFont="1" applyAlignment="1">
      <alignment horizontal="center" vertical="center"/>
    </xf>
    <xf numFmtId="0" fontId="87" fillId="0" borderId="0" xfId="45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90" fillId="0" borderId="0" xfId="45" applyFont="1" applyAlignment="1">
      <alignment horizontal="center" vertical="center"/>
    </xf>
    <xf numFmtId="0" fontId="29" fillId="24" borderId="0" xfId="45" applyFont="1" applyFill="1" applyAlignment="1">
      <alignment horizontal="center" vertical="center"/>
    </xf>
    <xf numFmtId="0" fontId="0" fillId="24" borderId="0" xfId="45" applyFont="1" applyFill="1" applyAlignment="1">
      <alignment vertical="center"/>
    </xf>
    <xf numFmtId="0" fontId="87" fillId="24" borderId="0" xfId="45" applyFont="1" applyFill="1" applyAlignment="1">
      <alignment horizontal="center" vertical="center"/>
    </xf>
    <xf numFmtId="0" fontId="58" fillId="24" borderId="0" xfId="51" applyFont="1" applyFill="1" applyAlignment="1">
      <alignment horizontal="center" vertical="center"/>
    </xf>
    <xf numFmtId="0" fontId="0" fillId="24" borderId="0" xfId="45" applyFont="1" applyFill="1" applyAlignment="1">
      <alignment horizontal="center" vertical="center"/>
    </xf>
    <xf numFmtId="0" fontId="102" fillId="24" borderId="0" xfId="51" applyFont="1" applyFill="1" applyAlignment="1">
      <alignment horizontal="center" vertical="center"/>
    </xf>
    <xf numFmtId="0" fontId="90" fillId="0" borderId="10" xfId="45" applyFont="1" applyBorder="1" applyAlignment="1">
      <alignment horizontal="center" vertical="center"/>
    </xf>
    <xf numFmtId="0" fontId="94" fillId="0" borderId="55" xfId="45" applyFont="1" applyBorder="1" applyAlignment="1">
      <alignment horizontal="center" vertical="center"/>
    </xf>
    <xf numFmtId="0" fontId="52" fillId="0" borderId="56" xfId="51" applyFont="1" applyBorder="1" applyAlignment="1">
      <alignment horizontal="center" vertical="center"/>
    </xf>
    <xf numFmtId="0" fontId="52" fillId="0" borderId="57" xfId="51" applyFont="1" applyBorder="1" applyAlignment="1">
      <alignment horizontal="center" vertical="center"/>
    </xf>
    <xf numFmtId="0" fontId="0" fillId="0" borderId="58" xfId="45" applyFont="1" applyBorder="1" applyAlignment="1">
      <alignment horizontal="center" vertical="center"/>
    </xf>
    <xf numFmtId="0" fontId="48" fillId="28" borderId="13" xfId="45" applyFont="1" applyFill="1" applyBorder="1" applyAlignment="1">
      <alignment horizontal="center" vertical="center"/>
    </xf>
    <xf numFmtId="0" fontId="104" fillId="0" borderId="59" xfId="45" applyFont="1" applyBorder="1" applyAlignment="1">
      <alignment horizontal="center" vertical="center"/>
    </xf>
    <xf numFmtId="0" fontId="52" fillId="0" borderId="0" xfId="5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60" xfId="45" applyFont="1" applyBorder="1" applyAlignment="1">
      <alignment horizontal="center" vertical="center"/>
    </xf>
    <xf numFmtId="0" fontId="26" fillId="28" borderId="27" xfId="51" applyFont="1" applyFill="1" applyBorder="1" applyAlignment="1">
      <alignment horizontal="center" vertical="center"/>
    </xf>
    <xf numFmtId="0" fontId="48" fillId="28" borderId="12" xfId="45" applyFont="1" applyFill="1" applyBorder="1" applyAlignment="1">
      <alignment horizontal="center" vertical="center"/>
    </xf>
    <xf numFmtId="0" fontId="0" fillId="28" borderId="27" xfId="45" applyFont="1" applyFill="1" applyBorder="1" applyAlignment="1">
      <alignment horizontal="center" vertical="center"/>
    </xf>
    <xf numFmtId="178" fontId="0" fillId="0" borderId="0" xfId="45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178" fontId="48" fillId="28" borderId="13" xfId="45" applyNumberFormat="1" applyFont="1" applyFill="1" applyBorder="1" applyAlignment="1">
      <alignment horizontal="center" vertical="center"/>
    </xf>
    <xf numFmtId="0" fontId="48" fillId="29" borderId="12" xfId="0" applyFont="1" applyFill="1" applyBorder="1" applyAlignment="1">
      <alignment horizontal="center" vertical="center"/>
    </xf>
    <xf numFmtId="0" fontId="48" fillId="29" borderId="0" xfId="45" applyFont="1" applyFill="1" applyAlignment="1">
      <alignment horizontal="center" vertical="center"/>
    </xf>
    <xf numFmtId="0" fontId="0" fillId="28" borderId="12" xfId="45" applyFont="1" applyFill="1" applyBorder="1" applyAlignment="1">
      <alignment vertical="center"/>
    </xf>
    <xf numFmtId="0" fontId="0" fillId="28" borderId="12" xfId="0" applyFont="1" applyFill="1" applyBorder="1" applyAlignment="1">
      <alignment horizontal="center" vertical="center"/>
    </xf>
    <xf numFmtId="0" fontId="0" fillId="0" borderId="61" xfId="45" applyFont="1" applyBorder="1" applyAlignment="1">
      <alignment horizontal="center" vertical="center"/>
    </xf>
    <xf numFmtId="0" fontId="52" fillId="0" borderId="62" xfId="51" applyFont="1" applyBorder="1" applyAlignment="1">
      <alignment horizontal="center" vertical="center"/>
    </xf>
    <xf numFmtId="0" fontId="52" fillId="0" borderId="63" xfId="51" applyFont="1" applyBorder="1" applyAlignment="1">
      <alignment horizontal="center" vertical="center"/>
    </xf>
    <xf numFmtId="0" fontId="26" fillId="0" borderId="63" xfId="51" applyFont="1" applyBorder="1" applyAlignment="1">
      <alignment horizontal="center" vertical="center"/>
    </xf>
    <xf numFmtId="0" fontId="0" fillId="0" borderId="64" xfId="45" applyFont="1" applyBorder="1" applyAlignment="1">
      <alignment horizontal="center" vertical="center"/>
    </xf>
    <xf numFmtId="0" fontId="0" fillId="28" borderId="31" xfId="0" applyFont="1" applyFill="1" applyBorder="1" applyAlignment="1">
      <alignment horizontal="center" vertical="center"/>
    </xf>
    <xf numFmtId="0" fontId="48" fillId="29" borderId="31" xfId="0" applyFont="1" applyFill="1" applyBorder="1" applyAlignment="1">
      <alignment horizontal="center" vertical="center"/>
    </xf>
    <xf numFmtId="0" fontId="48" fillId="29" borderId="13" xfId="45" applyFont="1" applyFill="1" applyBorder="1" applyAlignment="1">
      <alignment horizontal="center" vertical="center"/>
    </xf>
    <xf numFmtId="178" fontId="48" fillId="28" borderId="12" xfId="45" applyNumberFormat="1" applyFont="1" applyFill="1" applyBorder="1" applyAlignment="1">
      <alignment horizontal="center" vertical="center"/>
    </xf>
    <xf numFmtId="0" fontId="48" fillId="29" borderId="12" xfId="45" applyFont="1" applyFill="1" applyBorder="1" applyAlignment="1">
      <alignment horizontal="center" vertical="center"/>
    </xf>
    <xf numFmtId="0" fontId="48" fillId="29" borderId="0" xfId="0" applyFont="1" applyFill="1" applyAlignment="1">
      <alignment horizontal="center" vertical="center"/>
    </xf>
    <xf numFmtId="0" fontId="48" fillId="29" borderId="13" xfId="0" applyFont="1" applyFill="1" applyBorder="1" applyAlignment="1">
      <alignment horizontal="center" vertical="center"/>
    </xf>
    <xf numFmtId="0" fontId="0" fillId="28" borderId="29" xfId="45" applyFont="1" applyFill="1" applyBorder="1" applyAlignment="1">
      <alignment horizontal="center" vertical="center"/>
    </xf>
    <xf numFmtId="0" fontId="0" fillId="28" borderId="0" xfId="45" applyFont="1" applyFill="1" applyAlignment="1">
      <alignment horizontal="center" vertical="center"/>
    </xf>
    <xf numFmtId="0" fontId="0" fillId="28" borderId="0" xfId="45" applyFont="1" applyFill="1" applyAlignment="1">
      <alignment vertical="center"/>
    </xf>
    <xf numFmtId="0" fontId="0" fillId="28" borderId="0" xfId="0" applyFont="1" applyFill="1" applyAlignment="1">
      <alignment horizontal="center" vertical="center"/>
    </xf>
    <xf numFmtId="0" fontId="0" fillId="28" borderId="13" xfId="0" applyFont="1" applyFill="1" applyBorder="1" applyAlignment="1">
      <alignment horizontal="center" vertical="center"/>
    </xf>
    <xf numFmtId="0" fontId="48" fillId="29" borderId="28" xfId="0" applyFont="1" applyFill="1" applyBorder="1" applyAlignment="1">
      <alignment horizontal="center" vertical="center"/>
    </xf>
    <xf numFmtId="0" fontId="48" fillId="29" borderId="29" xfId="0" applyFont="1" applyFill="1" applyBorder="1" applyAlignment="1">
      <alignment horizontal="center" vertical="center"/>
    </xf>
    <xf numFmtId="0" fontId="0" fillId="0" borderId="0" xfId="45" applyFont="1" applyAlignment="1">
      <alignment horizontal="left" vertical="center"/>
    </xf>
    <xf numFmtId="0" fontId="0" fillId="28" borderId="31" xfId="45" applyFont="1" applyFill="1" applyBorder="1" applyAlignment="1">
      <alignment vertical="center"/>
    </xf>
    <xf numFmtId="0" fontId="0" fillId="28" borderId="42" xfId="0" applyFont="1" applyFill="1" applyBorder="1" applyAlignment="1">
      <alignment horizontal="center" vertical="center"/>
    </xf>
    <xf numFmtId="0" fontId="0" fillId="28" borderId="31" xfId="45" applyFont="1" applyFill="1" applyBorder="1" applyAlignment="1">
      <alignment horizontal="center" vertical="center"/>
    </xf>
    <xf numFmtId="0" fontId="0" fillId="28" borderId="29" xfId="0" applyFont="1" applyFill="1" applyBorder="1" applyAlignment="1">
      <alignment horizontal="center" vertical="center"/>
    </xf>
    <xf numFmtId="0" fontId="90" fillId="0" borderId="0" xfId="45" applyFont="1" applyBorder="1" applyAlignment="1">
      <alignment horizontal="center" vertical="center"/>
    </xf>
    <xf numFmtId="0" fontId="48" fillId="30" borderId="13" xfId="45" applyFont="1" applyFill="1" applyBorder="1" applyAlignment="1">
      <alignment horizontal="center" vertical="center"/>
    </xf>
    <xf numFmtId="0" fontId="26" fillId="30" borderId="17" xfId="51" applyFont="1" applyFill="1" applyBorder="1" applyAlignment="1">
      <alignment horizontal="center" vertical="center"/>
    </xf>
    <xf numFmtId="0" fontId="48" fillId="30" borderId="11" xfId="45" applyFont="1" applyFill="1" applyBorder="1" applyAlignment="1">
      <alignment horizontal="center" vertical="center"/>
    </xf>
    <xf numFmtId="0" fontId="0" fillId="30" borderId="12" xfId="45" applyFont="1" applyFill="1" applyBorder="1" applyAlignment="1">
      <alignment horizontal="center" vertical="center"/>
    </xf>
    <xf numFmtId="0" fontId="0" fillId="30" borderId="14" xfId="45" applyFont="1" applyFill="1" applyBorder="1" applyAlignment="1">
      <alignment horizontal="center" vertical="center"/>
    </xf>
    <xf numFmtId="178" fontId="48" fillId="30" borderId="13" xfId="45" applyNumberFormat="1" applyFont="1" applyFill="1" applyBorder="1" applyAlignment="1">
      <alignment horizontal="center" vertical="center"/>
    </xf>
    <xf numFmtId="0" fontId="48" fillId="30" borderId="29" xfId="45" applyFont="1" applyFill="1" applyBorder="1" applyAlignment="1">
      <alignment horizontal="center" vertical="center"/>
    </xf>
    <xf numFmtId="0" fontId="0" fillId="30" borderId="42" xfId="45" applyFont="1" applyFill="1" applyBorder="1" applyAlignment="1">
      <alignment vertical="center"/>
    </xf>
    <xf numFmtId="0" fontId="0" fillId="30" borderId="12" xfId="0" applyFont="1" applyFill="1" applyBorder="1" applyAlignment="1">
      <alignment horizontal="center" vertical="center"/>
    </xf>
    <xf numFmtId="0" fontId="0" fillId="30" borderId="31" xfId="0" applyFont="1" applyFill="1" applyBorder="1" applyAlignment="1">
      <alignment horizontal="center" vertical="center"/>
    </xf>
    <xf numFmtId="0" fontId="0" fillId="30" borderId="14" xfId="0" applyFont="1" applyFill="1" applyBorder="1" applyAlignment="1">
      <alignment horizontal="center" vertical="center"/>
    </xf>
    <xf numFmtId="178" fontId="48" fillId="30" borderId="12" xfId="45" applyNumberFormat="1" applyFont="1" applyFill="1" applyBorder="1" applyAlignment="1">
      <alignment horizontal="center" vertical="center"/>
    </xf>
    <xf numFmtId="0" fontId="0" fillId="30" borderId="31" xfId="45" applyFont="1" applyFill="1" applyBorder="1" applyAlignment="1">
      <alignment vertical="center"/>
    </xf>
    <xf numFmtId="178" fontId="48" fillId="30" borderId="29" xfId="45" applyNumberFormat="1" applyFont="1" applyFill="1" applyBorder="1" applyAlignment="1">
      <alignment horizontal="center" vertical="center"/>
    </xf>
    <xf numFmtId="0" fontId="0" fillId="30" borderId="12" xfId="45" applyFont="1" applyFill="1" applyBorder="1" applyAlignment="1">
      <alignment vertical="center"/>
    </xf>
    <xf numFmtId="0" fontId="0" fillId="28" borderId="27" xfId="0" applyFont="1" applyFill="1" applyBorder="1" applyAlignment="1">
      <alignment horizontal="center" vertical="center"/>
    </xf>
    <xf numFmtId="0" fontId="48" fillId="30" borderId="28" xfId="45" applyFont="1" applyFill="1" applyBorder="1" applyAlignment="1">
      <alignment horizontal="center" vertical="center"/>
    </xf>
    <xf numFmtId="0" fontId="48" fillId="29" borderId="27" xfId="45" applyFont="1" applyFill="1" applyBorder="1" applyAlignment="1">
      <alignment horizontal="center" vertical="center"/>
    </xf>
    <xf numFmtId="0" fontId="106" fillId="29" borderId="0" xfId="45" applyFont="1" applyFill="1" applyAlignment="1">
      <alignment horizontal="left" vertical="center"/>
    </xf>
    <xf numFmtId="0" fontId="0" fillId="29" borderId="0" xfId="45" applyFont="1" applyFill="1" applyAlignment="1">
      <alignment vertical="center"/>
    </xf>
    <xf numFmtId="0" fontId="106" fillId="32" borderId="0" xfId="45" applyFont="1" applyFill="1" applyAlignment="1">
      <alignment horizontal="left" vertical="center"/>
    </xf>
    <xf numFmtId="0" fontId="0" fillId="32" borderId="0" xfId="45" applyFont="1" applyFill="1" applyAlignment="1">
      <alignment vertical="center"/>
    </xf>
    <xf numFmtId="0" fontId="26" fillId="30" borderId="27" xfId="51" applyFont="1" applyFill="1" applyBorder="1" applyAlignment="1">
      <alignment horizontal="center" vertical="center"/>
    </xf>
    <xf numFmtId="0" fontId="26" fillId="30" borderId="28" xfId="51" applyFont="1" applyFill="1" applyBorder="1" applyAlignment="1">
      <alignment horizontal="center" vertical="center"/>
    </xf>
    <xf numFmtId="0" fontId="48" fillId="30" borderId="12" xfId="45" applyFont="1" applyFill="1" applyBorder="1" applyAlignment="1">
      <alignment horizontal="center" vertical="center"/>
    </xf>
    <xf numFmtId="178" fontId="48" fillId="30" borderId="11" xfId="45" applyNumberFormat="1" applyFont="1" applyFill="1" applyBorder="1" applyAlignment="1">
      <alignment horizontal="center" vertical="center"/>
    </xf>
    <xf numFmtId="0" fontId="0" fillId="30" borderId="12" xfId="0" applyFont="1" applyFill="1" applyBorder="1">
      <alignment vertical="center"/>
    </xf>
    <xf numFmtId="0" fontId="0" fillId="30" borderId="31" xfId="45" applyFont="1" applyFill="1" applyBorder="1" applyAlignment="1">
      <alignment horizontal="center" vertical="center"/>
    </xf>
    <xf numFmtId="178" fontId="0" fillId="0" borderId="27" xfId="45" applyNumberFormat="1" applyFont="1" applyBorder="1" applyAlignment="1">
      <alignment horizontal="center" vertical="center"/>
    </xf>
    <xf numFmtId="0" fontId="0" fillId="0" borderId="27" xfId="45" applyFont="1" applyBorder="1" applyAlignment="1">
      <alignment horizontal="center" vertical="center"/>
    </xf>
    <xf numFmtId="178" fontId="0" fillId="0" borderId="0" xfId="45" applyNumberFormat="1" applyFont="1" applyBorder="1" applyAlignment="1">
      <alignment horizontal="center" vertical="center"/>
    </xf>
    <xf numFmtId="0" fontId="0" fillId="0" borderId="0" xfId="45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30" borderId="27" xfId="45" applyFont="1" applyFill="1" applyBorder="1" applyAlignment="1">
      <alignment horizontal="center" vertical="center"/>
    </xf>
    <xf numFmtId="0" fontId="48" fillId="32" borderId="12" xfId="0" applyFont="1" applyFill="1" applyBorder="1" applyAlignment="1">
      <alignment horizontal="center" vertical="center"/>
    </xf>
    <xf numFmtId="0" fontId="48" fillId="32" borderId="0" xfId="45" applyFont="1" applyFill="1" applyAlignment="1">
      <alignment horizontal="center" vertical="center"/>
    </xf>
    <xf numFmtId="0" fontId="48" fillId="32" borderId="31" xfId="0" applyFont="1" applyFill="1" applyBorder="1" applyAlignment="1">
      <alignment horizontal="center" vertical="center"/>
    </xf>
    <xf numFmtId="0" fontId="48" fillId="32" borderId="13" xfId="45" applyFont="1" applyFill="1" applyBorder="1" applyAlignment="1">
      <alignment horizontal="center" vertical="center"/>
    </xf>
    <xf numFmtId="0" fontId="48" fillId="32" borderId="12" xfId="45" applyFont="1" applyFill="1" applyBorder="1" applyAlignment="1">
      <alignment horizontal="center" vertical="center"/>
    </xf>
    <xf numFmtId="0" fontId="0" fillId="30" borderId="42" xfId="0" applyFont="1" applyFill="1" applyBorder="1" applyAlignment="1">
      <alignment horizontal="center" vertical="center"/>
    </xf>
    <xf numFmtId="0" fontId="48" fillId="33" borderId="13" xfId="45" applyFont="1" applyFill="1" applyBorder="1" applyAlignment="1">
      <alignment horizontal="center" vertical="center"/>
    </xf>
    <xf numFmtId="0" fontId="26" fillId="33" borderId="27" xfId="51" applyFont="1" applyFill="1" applyBorder="1" applyAlignment="1">
      <alignment horizontal="center" vertical="center"/>
    </xf>
    <xf numFmtId="0" fontId="48" fillId="33" borderId="12" xfId="45" applyFont="1" applyFill="1" applyBorder="1" applyAlignment="1">
      <alignment horizontal="center" vertical="center"/>
    </xf>
    <xf numFmtId="0" fontId="0" fillId="33" borderId="27" xfId="45" applyFont="1" applyFill="1" applyBorder="1" applyAlignment="1">
      <alignment horizontal="center" vertical="center"/>
    </xf>
    <xf numFmtId="178" fontId="48" fillId="33" borderId="13" xfId="45" applyNumberFormat="1" applyFont="1" applyFill="1" applyBorder="1" applyAlignment="1">
      <alignment horizontal="center" vertical="center"/>
    </xf>
    <xf numFmtId="0" fontId="0" fillId="33" borderId="12" xfId="45" applyFont="1" applyFill="1" applyBorder="1" applyAlignment="1">
      <alignment vertical="center"/>
    </xf>
    <xf numFmtId="0" fontId="0" fillId="33" borderId="12" xfId="0" applyFont="1" applyFill="1" applyBorder="1" applyAlignment="1">
      <alignment horizontal="center" vertical="center"/>
    </xf>
    <xf numFmtId="0" fontId="0" fillId="33" borderId="31" xfId="0" applyFont="1" applyFill="1" applyBorder="1" applyAlignment="1">
      <alignment horizontal="center" vertical="center"/>
    </xf>
    <xf numFmtId="178" fontId="48" fillId="33" borderId="12" xfId="45" applyNumberFormat="1" applyFont="1" applyFill="1" applyBorder="1" applyAlignment="1">
      <alignment horizontal="center" vertical="center"/>
    </xf>
    <xf numFmtId="0" fontId="48" fillId="32" borderId="0" xfId="0" applyFont="1" applyFill="1" applyAlignment="1">
      <alignment horizontal="center" vertical="center"/>
    </xf>
    <xf numFmtId="0" fontId="48" fillId="33" borderId="29" xfId="45" applyFont="1" applyFill="1" applyBorder="1" applyAlignment="1">
      <alignment horizontal="center" vertical="center"/>
    </xf>
    <xf numFmtId="0" fontId="0" fillId="33" borderId="31" xfId="45" applyFont="1" applyFill="1" applyBorder="1" applyAlignment="1">
      <alignment horizontal="center" vertical="center"/>
    </xf>
    <xf numFmtId="0" fontId="0" fillId="33" borderId="27" xfId="0" applyFont="1" applyFill="1" applyBorder="1" applyAlignment="1">
      <alignment horizontal="center" vertical="center"/>
    </xf>
    <xf numFmtId="0" fontId="107" fillId="0" borderId="56" xfId="51" applyFont="1" applyBorder="1" applyAlignment="1">
      <alignment horizontal="center" vertical="center"/>
    </xf>
    <xf numFmtId="0" fontId="107" fillId="0" borderId="57" xfId="51" applyFont="1" applyBorder="1" applyAlignment="1">
      <alignment horizontal="center" vertical="center"/>
    </xf>
    <xf numFmtId="0" fontId="109" fillId="0" borderId="58" xfId="45" applyFont="1" applyBorder="1" applyAlignment="1">
      <alignment horizontal="center" vertical="center"/>
    </xf>
    <xf numFmtId="0" fontId="107" fillId="0" borderId="0" xfId="51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9" fillId="0" borderId="60" xfId="45" applyFont="1" applyBorder="1" applyAlignment="1">
      <alignment horizontal="center" vertical="center"/>
    </xf>
    <xf numFmtId="0" fontId="108" fillId="0" borderId="0" xfId="51" applyFont="1" applyAlignment="1">
      <alignment horizontal="center" vertical="center"/>
    </xf>
    <xf numFmtId="0" fontId="0" fillId="33" borderId="0" xfId="45" applyFont="1" applyFill="1" applyAlignment="1">
      <alignment horizontal="center" vertical="center"/>
    </xf>
    <xf numFmtId="0" fontId="107" fillId="0" borderId="62" xfId="51" applyFont="1" applyBorder="1" applyAlignment="1">
      <alignment horizontal="center" vertical="center"/>
    </xf>
    <xf numFmtId="0" fontId="107" fillId="0" borderId="63" xfId="51" applyFont="1" applyBorder="1" applyAlignment="1">
      <alignment horizontal="center" vertical="center"/>
    </xf>
    <xf numFmtId="0" fontId="108" fillId="0" borderId="63" xfId="51" applyFont="1" applyBorder="1" applyAlignment="1">
      <alignment horizontal="center" vertical="center"/>
    </xf>
    <xf numFmtId="0" fontId="109" fillId="0" borderId="64" xfId="45" applyFont="1" applyBorder="1" applyAlignment="1">
      <alignment horizontal="center" vertical="center"/>
    </xf>
    <xf numFmtId="0" fontId="109" fillId="0" borderId="0" xfId="45" applyFont="1" applyAlignment="1">
      <alignment horizontal="center" vertical="center"/>
    </xf>
    <xf numFmtId="0" fontId="0" fillId="33" borderId="31" xfId="45" applyFont="1" applyFill="1" applyBorder="1" applyAlignment="1">
      <alignment vertical="center"/>
    </xf>
    <xf numFmtId="0" fontId="29" fillId="0" borderId="0" xfId="45" applyFont="1" applyAlignment="1">
      <alignment horizontal="left" vertical="center"/>
    </xf>
    <xf numFmtId="0" fontId="0" fillId="33" borderId="31" xfId="0" applyFill="1" applyBorder="1" applyAlignment="1">
      <alignment horizontal="center" vertical="center"/>
    </xf>
    <xf numFmtId="0" fontId="48" fillId="33" borderId="11" xfId="45" applyFont="1" applyFill="1" applyBorder="1" applyAlignment="1">
      <alignment horizontal="center" vertical="center"/>
    </xf>
    <xf numFmtId="0" fontId="0" fillId="33" borderId="14" xfId="0" applyFont="1" applyFill="1" applyBorder="1" applyAlignment="1">
      <alignment horizontal="center" vertical="center"/>
    </xf>
    <xf numFmtId="178" fontId="48" fillId="33" borderId="11" xfId="45" applyNumberFormat="1" applyFont="1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178" fontId="48" fillId="33" borderId="29" xfId="45" applyNumberFormat="1" applyFont="1" applyFill="1" applyBorder="1" applyAlignment="1">
      <alignment horizontal="center" vertical="center"/>
    </xf>
    <xf numFmtId="0" fontId="0" fillId="33" borderId="12" xfId="45" applyFont="1" applyFill="1" applyBorder="1" applyAlignment="1">
      <alignment horizontal="center" vertical="center"/>
    </xf>
    <xf numFmtId="0" fontId="90" fillId="0" borderId="65" xfId="45" applyFont="1" applyBorder="1" applyAlignment="1">
      <alignment horizontal="center" vertical="center"/>
    </xf>
    <xf numFmtId="0" fontId="114" fillId="0" borderId="0" xfId="0" applyFont="1" applyAlignment="1">
      <alignment horizontal="center" vertical="center"/>
    </xf>
    <xf numFmtId="178" fontId="0" fillId="0" borderId="0" xfId="45" applyNumberFormat="1" applyFont="1" applyAlignment="1">
      <alignment horizontal="center" vertical="center"/>
    </xf>
    <xf numFmtId="0" fontId="114" fillId="0" borderId="0" xfId="51" applyFont="1" applyAlignment="1">
      <alignment horizontal="center" vertical="center"/>
    </xf>
    <xf numFmtId="0" fontId="114" fillId="0" borderId="63" xfId="51" applyFont="1" applyBorder="1" applyAlignment="1">
      <alignment horizontal="center" vertical="center"/>
    </xf>
    <xf numFmtId="0" fontId="48" fillId="0" borderId="66" xfId="45" applyFont="1" applyBorder="1" applyAlignment="1">
      <alignment horizontal="center" vertical="center"/>
    </xf>
    <xf numFmtId="0" fontId="117" fillId="29" borderId="0" xfId="45" applyFont="1" applyFill="1" applyAlignment="1">
      <alignment horizontal="left" vertical="center"/>
    </xf>
    <xf numFmtId="0" fontId="117" fillId="32" borderId="0" xfId="45" applyFont="1" applyFill="1" applyAlignment="1">
      <alignment horizontal="left" vertical="center"/>
    </xf>
    <xf numFmtId="0" fontId="48" fillId="0" borderId="12" xfId="45" applyFont="1" applyBorder="1" applyAlignment="1">
      <alignment horizontal="center" vertical="center"/>
    </xf>
    <xf numFmtId="0" fontId="112" fillId="0" borderId="12" xfId="51" applyFont="1" applyBorder="1" applyAlignment="1">
      <alignment horizontal="center" vertical="center"/>
    </xf>
    <xf numFmtId="178" fontId="48" fillId="0" borderId="12" xfId="45" applyNumberFormat="1" applyFont="1" applyBorder="1" applyAlignment="1">
      <alignment horizontal="center" vertical="center"/>
    </xf>
    <xf numFmtId="0" fontId="0" fillId="0" borderId="12" xfId="45" applyFont="1" applyBorder="1" applyAlignment="1">
      <alignment vertical="center"/>
    </xf>
    <xf numFmtId="0" fontId="112" fillId="0" borderId="0" xfId="45" applyFont="1" applyAlignment="1">
      <alignment horizontal="left" vertical="center"/>
    </xf>
    <xf numFmtId="0" fontId="48" fillId="6" borderId="12" xfId="50" applyFont="1" applyFill="1" applyBorder="1" applyAlignment="1">
      <alignment horizontal="center"/>
    </xf>
    <xf numFmtId="0" fontId="48" fillId="0" borderId="12" xfId="50" applyFont="1" applyBorder="1" applyAlignment="1">
      <alignment horizontal="center"/>
    </xf>
    <xf numFmtId="0" fontId="48" fillId="6" borderId="12" xfId="52" applyFont="1" applyFill="1" applyBorder="1" applyAlignment="1">
      <alignment horizontal="center"/>
    </xf>
    <xf numFmtId="0" fontId="21" fillId="0" borderId="12" xfId="52" applyFont="1" applyBorder="1" applyAlignment="1">
      <alignment horizontal="center"/>
    </xf>
    <xf numFmtId="0" fontId="21" fillId="0" borderId="12" xfId="50" applyFont="1" applyBorder="1" applyAlignment="1">
      <alignment horizontal="center"/>
    </xf>
    <xf numFmtId="0" fontId="52" fillId="0" borderId="0" xfId="0" applyFont="1" applyBorder="1" applyAlignment="1">
      <alignment horizontal="center" vertical="center"/>
    </xf>
    <xf numFmtId="0" fontId="48" fillId="0" borderId="0" xfId="44" applyFont="1" applyBorder="1" applyAlignment="1">
      <alignment horizontal="left" vertical="center"/>
    </xf>
    <xf numFmtId="0" fontId="48" fillId="0" borderId="12" xfId="51" applyFont="1" applyBorder="1" applyAlignment="1">
      <alignment horizontal="center" vertical="center"/>
    </xf>
    <xf numFmtId="0" fontId="113" fillId="31" borderId="12" xfId="45" applyFont="1" applyFill="1" applyBorder="1" applyAlignment="1">
      <alignment horizontal="center" vertical="center"/>
    </xf>
    <xf numFmtId="0" fontId="48" fillId="0" borderId="67" xfId="51" applyFont="1" applyBorder="1" applyAlignment="1">
      <alignment horizontal="center" vertical="center"/>
    </xf>
    <xf numFmtId="0" fontId="113" fillId="31" borderId="67" xfId="45" applyFont="1" applyFill="1" applyBorder="1" applyAlignment="1">
      <alignment horizontal="center" vertical="center"/>
    </xf>
    <xf numFmtId="0" fontId="105" fillId="31" borderId="12" xfId="45" applyFont="1" applyFill="1" applyBorder="1" applyAlignment="1">
      <alignment horizontal="center" vertical="center"/>
    </xf>
    <xf numFmtId="0" fontId="52" fillId="33" borderId="12" xfId="51" applyFont="1" applyFill="1" applyBorder="1" applyAlignment="1">
      <alignment horizontal="center" vertical="center"/>
    </xf>
    <xf numFmtId="0" fontId="48" fillId="33" borderId="27" xfId="45" applyFont="1" applyFill="1" applyBorder="1" applyAlignment="1">
      <alignment horizontal="center" vertical="center"/>
    </xf>
    <xf numFmtId="0" fontId="48" fillId="32" borderId="12" xfId="45" applyFont="1" applyFill="1" applyBorder="1" applyAlignment="1">
      <alignment horizontal="center" vertical="center"/>
    </xf>
    <xf numFmtId="0" fontId="48" fillId="33" borderId="12" xfId="45" applyFont="1" applyFill="1" applyBorder="1" applyAlignment="1">
      <alignment horizontal="center" vertical="center"/>
    </xf>
    <xf numFmtId="0" fontId="52" fillId="33" borderId="13" xfId="51" applyFont="1" applyFill="1" applyBorder="1" applyAlignment="1">
      <alignment horizontal="center" vertical="center"/>
    </xf>
    <xf numFmtId="0" fontId="48" fillId="32" borderId="12" xfId="0" applyFont="1" applyFill="1" applyBorder="1" applyAlignment="1">
      <alignment horizontal="center" vertical="center"/>
    </xf>
    <xf numFmtId="0" fontId="52" fillId="30" borderId="12" xfId="51" applyFont="1" applyFill="1" applyBorder="1" applyAlignment="1">
      <alignment horizontal="center" vertical="center"/>
    </xf>
    <xf numFmtId="0" fontId="48" fillId="30" borderId="17" xfId="45" applyFont="1" applyFill="1" applyBorder="1" applyAlignment="1">
      <alignment horizontal="center" vertical="center"/>
    </xf>
    <xf numFmtId="0" fontId="48" fillId="30" borderId="12" xfId="45" applyFont="1" applyFill="1" applyBorder="1" applyAlignment="1">
      <alignment horizontal="center" vertical="center"/>
    </xf>
    <xf numFmtId="0" fontId="52" fillId="28" borderId="12" xfId="51" applyFont="1" applyFill="1" applyBorder="1" applyAlignment="1">
      <alignment horizontal="center" vertical="center"/>
    </xf>
    <xf numFmtId="0" fontId="48" fillId="28" borderId="12" xfId="45" applyFont="1" applyFill="1" applyBorder="1" applyAlignment="1">
      <alignment horizontal="center" vertical="center"/>
    </xf>
    <xf numFmtId="0" fontId="52" fillId="30" borderId="13" xfId="51" applyFont="1" applyFill="1" applyBorder="1" applyAlignment="1">
      <alignment horizontal="center" vertical="center"/>
    </xf>
    <xf numFmtId="0" fontId="52" fillId="24" borderId="12" xfId="51" applyFont="1" applyFill="1" applyBorder="1" applyAlignment="1">
      <alignment horizontal="center" vertical="center"/>
    </xf>
    <xf numFmtId="0" fontId="48" fillId="29" borderId="12" xfId="0" applyFont="1" applyFill="1" applyBorder="1" applyAlignment="1">
      <alignment horizontal="center" vertical="center"/>
    </xf>
    <xf numFmtId="0" fontId="48" fillId="29" borderId="13" xfId="0" applyFont="1" applyFill="1" applyBorder="1" applyAlignment="1">
      <alignment horizontal="center" vertical="center"/>
    </xf>
    <xf numFmtId="0" fontId="112" fillId="0" borderId="0" xfId="45" applyFont="1" applyAlignment="1">
      <alignment horizontal="center" vertical="center"/>
    </xf>
    <xf numFmtId="0" fontId="112" fillId="0" borderId="12" xfId="0" applyFont="1" applyBorder="1" applyAlignment="1">
      <alignment horizontal="center" vertical="center"/>
    </xf>
    <xf numFmtId="0" fontId="112" fillId="0" borderId="12" xfId="45" applyFont="1" applyBorder="1" applyAlignment="1">
      <alignment horizontal="center" vertical="center"/>
    </xf>
    <xf numFmtId="0" fontId="119" fillId="0" borderId="0" xfId="45" applyFont="1" applyAlignment="1">
      <alignment horizontal="center" vertical="center"/>
    </xf>
    <xf numFmtId="0" fontId="48" fillId="34" borderId="12" xfId="45" applyFont="1" applyFill="1" applyBorder="1" applyAlignment="1">
      <alignment horizontal="center" vertical="center"/>
    </xf>
    <xf numFmtId="0" fontId="48" fillId="34" borderId="12" xfId="51" applyFont="1" applyFill="1" applyBorder="1" applyAlignment="1">
      <alignment horizontal="center" vertical="center"/>
    </xf>
    <xf numFmtId="0" fontId="112" fillId="34" borderId="12" xfId="51" applyFont="1" applyFill="1" applyBorder="1" applyAlignment="1">
      <alignment horizontal="center" vertical="center"/>
    </xf>
    <xf numFmtId="178" fontId="48" fillId="34" borderId="12" xfId="45" applyNumberFormat="1" applyFont="1" applyFill="1" applyBorder="1" applyAlignment="1">
      <alignment horizontal="center" vertical="center"/>
    </xf>
    <xf numFmtId="0" fontId="48" fillId="34" borderId="12" xfId="0" applyFont="1" applyFill="1" applyBorder="1" applyAlignment="1">
      <alignment horizontal="center" vertical="center"/>
    </xf>
    <xf numFmtId="0" fontId="0" fillId="34" borderId="12" xfId="45" applyFont="1" applyFill="1" applyBorder="1" applyAlignment="1">
      <alignment vertical="center"/>
    </xf>
  </cellXfs>
  <cellStyles count="55">
    <cellStyle name="?" xfId="19" xr:uid="{00000000-0005-0000-0000-000018000000}"/>
    <cellStyle name="? 1" xfId="20" xr:uid="{00000000-0005-0000-0000-000019000000}"/>
    <cellStyle name="??" xfId="21" xr:uid="{00000000-0005-0000-0000-00001A000000}"/>
    <cellStyle name="?? 1" xfId="22" xr:uid="{00000000-0005-0000-0000-00001B000000}"/>
    <cellStyle name="?? 1 1" xfId="23" xr:uid="{00000000-0005-0000-0000-00001C000000}"/>
    <cellStyle name="?? 2" xfId="24" xr:uid="{00000000-0005-0000-0000-00001D000000}"/>
    <cellStyle name="?? 2 1" xfId="25" xr:uid="{00000000-0005-0000-0000-00001E000000}"/>
    <cellStyle name="?? 3" xfId="26" xr:uid="{00000000-0005-0000-0000-00001F000000}"/>
    <cellStyle name="?? 3 1" xfId="27" xr:uid="{00000000-0005-0000-0000-000020000000}"/>
    <cellStyle name="?? 4" xfId="28" xr:uid="{00000000-0005-0000-0000-000021000000}"/>
    <cellStyle name="?? 5" xfId="29" xr:uid="{00000000-0005-0000-0000-000022000000}"/>
    <cellStyle name="?? 6" xfId="30" xr:uid="{00000000-0005-0000-0000-000023000000}"/>
    <cellStyle name="?? 7" xfId="31" xr:uid="{00000000-0005-0000-0000-000024000000}"/>
    <cellStyle name="?? 8" xfId="32" xr:uid="{00000000-0005-0000-0000-000025000000}"/>
    <cellStyle name="????" xfId="39" xr:uid="{00000000-0005-0000-0000-00002C000000}"/>
    <cellStyle name="???? 1" xfId="40" xr:uid="{00000000-0005-0000-0000-00002D000000}"/>
    <cellStyle name="???? 2" xfId="41" xr:uid="{00000000-0005-0000-0000-00002E000000}"/>
    <cellStyle name="?????" xfId="42" xr:uid="{00000000-0005-0000-0000-00002F000000}"/>
    <cellStyle name="??????" xfId="43" xr:uid="{00000000-0005-0000-0000-000030000000}"/>
    <cellStyle name="??_LCSDCup_Information" xfId="44" xr:uid="{00000000-0005-0000-0000-000031000000}"/>
    <cellStyle name="??_LCSDCup_Information 2" xfId="45" xr:uid="{00000000-0005-0000-0000-000032000000}"/>
    <cellStyle name="??_LCSDCup_Information_2005LCSD INFORMATION" xfId="46" xr:uid="{00000000-0005-0000-0000-000033000000}"/>
    <cellStyle name="??_LCSDCup_Information_2005LCSD INFORMATION_INFORMATION OF GC2_2013" xfId="47" xr:uid="{00000000-0005-0000-0000-000034000000}"/>
    <cellStyle name="??_LCSDCup_Information_2005LCSD INFORMATION_INFORMATION OF LCSD 2012" xfId="48" xr:uid="{00000000-0005-0000-0000-000035000000}"/>
    <cellStyle name="??_MEN_32_To8" xfId="49" xr:uid="{00000000-0005-0000-0000-000036000000}"/>
    <cellStyle name="??1" xfId="33" xr:uid="{00000000-0005-0000-0000-000026000000}"/>
    <cellStyle name="??2" xfId="34" xr:uid="{00000000-0005-0000-0000-000027000000}"/>
    <cellStyle name="??3" xfId="35" xr:uid="{00000000-0005-0000-0000-000028000000}"/>
    <cellStyle name="??4" xfId="36" xr:uid="{00000000-0005-0000-0000-000029000000}"/>
    <cellStyle name="??5" xfId="37" xr:uid="{00000000-0005-0000-0000-00002A000000}"/>
    <cellStyle name="??6" xfId="38" xr:uid="{00000000-0005-0000-0000-00002B000000}"/>
    <cellStyle name="20% - ??1" xfId="1" xr:uid="{00000000-0005-0000-0000-000006000000}"/>
    <cellStyle name="20% - ??2" xfId="2" xr:uid="{00000000-0005-0000-0000-000007000000}"/>
    <cellStyle name="20% - ??3" xfId="3" xr:uid="{00000000-0005-0000-0000-000008000000}"/>
    <cellStyle name="20% - ??4" xfId="4" xr:uid="{00000000-0005-0000-0000-000009000000}"/>
    <cellStyle name="20% - ??5" xfId="5" xr:uid="{00000000-0005-0000-0000-00000A000000}"/>
    <cellStyle name="20% - ??6" xfId="6" xr:uid="{00000000-0005-0000-0000-00000B000000}"/>
    <cellStyle name="40% - ??1" xfId="7" xr:uid="{00000000-0005-0000-0000-00000C000000}"/>
    <cellStyle name="40% - ??2" xfId="8" xr:uid="{00000000-0005-0000-0000-00000D000000}"/>
    <cellStyle name="40% - ??3" xfId="9" xr:uid="{00000000-0005-0000-0000-00000E000000}"/>
    <cellStyle name="40% - ??4" xfId="10" xr:uid="{00000000-0005-0000-0000-00000F000000}"/>
    <cellStyle name="40% - ??5" xfId="11" xr:uid="{00000000-0005-0000-0000-000010000000}"/>
    <cellStyle name="40% - ??6" xfId="12" xr:uid="{00000000-0005-0000-0000-000011000000}"/>
    <cellStyle name="60% - ??1" xfId="13" xr:uid="{00000000-0005-0000-0000-000012000000}"/>
    <cellStyle name="60% - ??2" xfId="14" xr:uid="{00000000-0005-0000-0000-000013000000}"/>
    <cellStyle name="60% - ??3" xfId="15" xr:uid="{00000000-0005-0000-0000-000014000000}"/>
    <cellStyle name="60% - ??4" xfId="16" xr:uid="{00000000-0005-0000-0000-000015000000}"/>
    <cellStyle name="60% - ??5" xfId="17" xr:uid="{00000000-0005-0000-0000-000016000000}"/>
    <cellStyle name="60% - ??6" xfId="18" xr:uid="{00000000-0005-0000-0000-000017000000}"/>
    <cellStyle name="一般" xfId="0" builtinId="0"/>
    <cellStyle name="一般_LCSDCup_Information" xfId="50" xr:uid="{00000000-0005-0000-0000-000037000000}"/>
    <cellStyle name="一般_LCSDCup_Information 2" xfId="51" xr:uid="{00000000-0005-0000-0000-000038000000}"/>
    <cellStyle name="一般_LCSDCup_Information_2005LCSD INFORMATION" xfId="52" xr:uid="{00000000-0005-0000-0000-000039000000}"/>
    <cellStyle name="一般_LCSDCup_Information_2005LCSD INFORMATION_INFORMATION OF LCSD 2012" xfId="53" xr:uid="{00000000-0005-0000-0000-00003A000000}"/>
    <cellStyle name="一般_MEN_32_To8" xfId="54" xr:uid="{00000000-0005-0000-0000-00003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D9D9D9"/>
      <rgbColor rgb="FF800000"/>
      <rgbColor rgb="FF008000"/>
      <rgbColor rgb="FF000080"/>
      <rgbColor rgb="FF92D050"/>
      <rgbColor rgb="FF800080"/>
      <rgbColor rgb="FF008080"/>
      <rgbColor rgb="FFC0C0C0"/>
      <rgbColor rgb="FF808080"/>
      <rgbColor rgb="FFA6A6A6"/>
      <rgbColor rgb="FFFCD5B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B9CDE5"/>
      <rgbColor rgb="FFC6D9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B4C7E7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8"/>
  <sheetViews>
    <sheetView tabSelected="1" zoomScaleNormal="100" workbookViewId="0"/>
  </sheetViews>
  <sheetFormatPr defaultRowHeight="17.25"/>
  <cols>
    <col min="1" max="1" width="9.21875" style="1" customWidth="1"/>
    <col min="2" max="2" width="93.109375" customWidth="1"/>
    <col min="3" max="1025" width="7.44140625" customWidth="1"/>
  </cols>
  <sheetData>
    <row r="1" spans="1:2" s="4" customFormat="1" ht="33" customHeight="1">
      <c r="A1" s="2" t="s">
        <v>0</v>
      </c>
      <c r="B1" s="3" t="s">
        <v>1</v>
      </c>
    </row>
    <row r="2" spans="1:2" s="4" customFormat="1" ht="27" customHeight="1">
      <c r="A2" s="3"/>
      <c r="B2" s="3" t="s">
        <v>2</v>
      </c>
    </row>
    <row r="3" spans="1:2" s="4" customFormat="1" ht="15.75">
      <c r="A3" s="2"/>
    </row>
    <row r="4" spans="1:2" s="4" customFormat="1" ht="17.25" customHeight="1">
      <c r="A4" s="5" t="s">
        <v>3</v>
      </c>
      <c r="B4" s="6" t="s">
        <v>4</v>
      </c>
    </row>
    <row r="5" spans="1:2" s="4" customFormat="1" ht="17.25" customHeight="1">
      <c r="A5" s="5"/>
      <c r="B5" s="6" t="s">
        <v>5</v>
      </c>
    </row>
    <row r="6" spans="1:2" s="4" customFormat="1" ht="17.25" customHeight="1">
      <c r="A6" s="5" t="s">
        <v>6</v>
      </c>
      <c r="B6" s="6" t="s">
        <v>7</v>
      </c>
    </row>
    <row r="7" spans="1:2" s="4" customFormat="1" ht="17.25" customHeight="1">
      <c r="A7" s="5" t="s">
        <v>8</v>
      </c>
      <c r="B7" s="7" t="s">
        <v>9</v>
      </c>
    </row>
    <row r="8" spans="1:2" s="4" customFormat="1" ht="17.25" customHeight="1">
      <c r="A8" s="8"/>
      <c r="B8" s="6" t="s">
        <v>10</v>
      </c>
    </row>
    <row r="9" spans="1:2" s="4" customFormat="1" ht="17.25" customHeight="1">
      <c r="A9" s="8"/>
      <c r="B9" s="6" t="s">
        <v>11</v>
      </c>
    </row>
    <row r="10" spans="1:2" s="4" customFormat="1" ht="17.25" customHeight="1">
      <c r="A10" s="8"/>
      <c r="B10" s="9" t="s">
        <v>12</v>
      </c>
    </row>
    <row r="11" spans="1:2" s="4" customFormat="1" ht="17.25" customHeight="1">
      <c r="A11" s="8"/>
      <c r="B11" s="9" t="s">
        <v>13</v>
      </c>
    </row>
    <row r="12" spans="1:2" s="4" customFormat="1" ht="17.25" customHeight="1">
      <c r="A12" s="8"/>
      <c r="B12" s="9" t="s">
        <v>14</v>
      </c>
    </row>
    <row r="13" spans="1:2" s="4" customFormat="1" ht="17.25" customHeight="1">
      <c r="A13" s="8"/>
      <c r="B13" s="9" t="s">
        <v>15</v>
      </c>
    </row>
    <row r="14" spans="1:2" s="9" customFormat="1" ht="17.25" customHeight="1">
      <c r="A14" s="8"/>
      <c r="B14" s="9" t="s">
        <v>16</v>
      </c>
    </row>
    <row r="15" spans="1:2" s="4" customFormat="1" ht="15.75">
      <c r="A15" s="8"/>
      <c r="B15" s="10" t="s">
        <v>17</v>
      </c>
    </row>
    <row r="16" spans="1:2" s="4" customFormat="1" ht="17.25" customHeight="1">
      <c r="A16" s="8"/>
      <c r="B16" s="10"/>
    </row>
    <row r="17" spans="1:2" s="4" customFormat="1" ht="15.75">
      <c r="A17" s="5"/>
      <c r="B17" s="10" t="s">
        <v>18</v>
      </c>
    </row>
    <row r="18" spans="1:2" s="4" customFormat="1" ht="15.75" hidden="1">
      <c r="A18" s="2"/>
    </row>
    <row r="19" spans="1:2" s="4" customFormat="1" ht="27" hidden="1">
      <c r="A19" s="2"/>
      <c r="B19" s="11" t="s">
        <v>19</v>
      </c>
    </row>
    <row r="20" spans="1:2" s="4" customFormat="1" ht="15.75" hidden="1">
      <c r="A20" s="2" t="s">
        <v>20</v>
      </c>
      <c r="B20" s="4" t="s">
        <v>21</v>
      </c>
    </row>
    <row r="21" spans="1:2" s="4" customFormat="1" ht="15.75" hidden="1">
      <c r="A21" s="2"/>
      <c r="B21" s="4" t="s">
        <v>22</v>
      </c>
    </row>
    <row r="22" spans="1:2" s="4" customFormat="1" ht="15.75" hidden="1">
      <c r="A22" s="2" t="s">
        <v>23</v>
      </c>
      <c r="B22" s="4" t="s">
        <v>24</v>
      </c>
    </row>
    <row r="23" spans="1:2" s="4" customFormat="1" ht="15.75" hidden="1">
      <c r="A23" s="2" t="s">
        <v>25</v>
      </c>
      <c r="B23" s="4" t="s">
        <v>26</v>
      </c>
    </row>
    <row r="24" spans="1:2" s="4" customFormat="1" ht="15.75" hidden="1">
      <c r="A24" s="2"/>
      <c r="B24" s="4" t="s">
        <v>27</v>
      </c>
    </row>
    <row r="25" spans="1:2" s="4" customFormat="1" ht="15.75" hidden="1">
      <c r="A25" s="2"/>
      <c r="B25" s="4" t="s">
        <v>28</v>
      </c>
    </row>
    <row r="26" spans="1:2" s="4" customFormat="1" ht="15.75" hidden="1">
      <c r="A26" s="2"/>
      <c r="B26" s="12" t="s">
        <v>29</v>
      </c>
    </row>
    <row r="27" spans="1:2" s="4" customFormat="1" ht="15.75" hidden="1">
      <c r="A27" s="2"/>
      <c r="B27" s="4" t="s">
        <v>30</v>
      </c>
    </row>
    <row r="28" spans="1:2" s="4" customFormat="1" ht="15.75" hidden="1">
      <c r="A28" s="2"/>
      <c r="B28" s="4" t="s">
        <v>31</v>
      </c>
    </row>
    <row r="29" spans="1:2" s="4" customFormat="1" ht="15.75" hidden="1">
      <c r="A29" s="2"/>
      <c r="B29" s="4" t="s">
        <v>32</v>
      </c>
    </row>
    <row r="30" spans="1:2" s="4" customFormat="1" ht="15.75" hidden="1">
      <c r="A30" s="2"/>
      <c r="B30" s="4" t="s">
        <v>33</v>
      </c>
    </row>
    <row r="31" spans="1:2" s="4" customFormat="1" ht="15.75" hidden="1">
      <c r="A31" s="2"/>
      <c r="B31" s="13" t="s">
        <v>34</v>
      </c>
    </row>
    <row r="32" spans="1:2" s="4" customFormat="1" ht="15.75" hidden="1">
      <c r="A32" s="2"/>
      <c r="B32" s="4" t="s">
        <v>35</v>
      </c>
    </row>
    <row r="33" spans="1:2" s="4" customFormat="1" ht="15.75" hidden="1">
      <c r="A33" s="2"/>
      <c r="B33" s="4" t="s">
        <v>36</v>
      </c>
    </row>
    <row r="34" spans="1:2" s="4" customFormat="1" ht="15.75" hidden="1">
      <c r="A34" s="2"/>
      <c r="B34" s="4" t="s">
        <v>37</v>
      </c>
    </row>
    <row r="35" spans="1:2" s="4" customFormat="1" ht="15.75" hidden="1">
      <c r="A35" s="2"/>
      <c r="B35" s="14" t="s">
        <v>38</v>
      </c>
    </row>
    <row r="36" spans="1:2" s="4" customFormat="1" ht="15.75" hidden="1">
      <c r="A36" s="2"/>
      <c r="B36" s="12" t="s">
        <v>39</v>
      </c>
    </row>
    <row r="37" spans="1:2" s="4" customFormat="1" ht="15.75">
      <c r="A37" s="2"/>
      <c r="B37" s="4" t="s">
        <v>40</v>
      </c>
    </row>
    <row r="38" spans="1:2" s="4" customFormat="1" ht="27">
      <c r="A38" s="2"/>
      <c r="B38" s="11" t="s">
        <v>19</v>
      </c>
    </row>
    <row r="39" spans="1:2" s="4" customFormat="1" ht="15.75">
      <c r="A39" s="2"/>
      <c r="B39" s="4" t="s">
        <v>21</v>
      </c>
    </row>
    <row r="40" spans="1:2" s="4" customFormat="1" ht="15.75">
      <c r="A40" s="2"/>
      <c r="B40" s="4" t="s">
        <v>22</v>
      </c>
    </row>
    <row r="41" spans="1:2" s="4" customFormat="1" ht="15.75">
      <c r="A41" s="2"/>
      <c r="B41" s="4" t="s">
        <v>24</v>
      </c>
    </row>
    <row r="42" spans="1:2" s="4" customFormat="1" ht="15.75">
      <c r="A42" s="2"/>
      <c r="B42" s="4" t="s">
        <v>26</v>
      </c>
    </row>
    <row r="43" spans="1:2" s="4" customFormat="1" ht="15.75">
      <c r="A43" s="2"/>
      <c r="B43" s="4" t="s">
        <v>27</v>
      </c>
    </row>
    <row r="44" spans="1:2" s="4" customFormat="1" ht="15.75">
      <c r="A44" s="2"/>
      <c r="B44" s="4" t="s">
        <v>28</v>
      </c>
    </row>
    <row r="45" spans="1:2" s="4" customFormat="1" ht="15.75">
      <c r="A45" s="2"/>
      <c r="B45" s="4" t="s">
        <v>41</v>
      </c>
    </row>
    <row r="46" spans="1:2" s="4" customFormat="1" ht="15.75">
      <c r="A46" s="2"/>
      <c r="B46" s="4" t="s">
        <v>30</v>
      </c>
    </row>
    <row r="47" spans="1:2" s="4" customFormat="1" ht="15.75">
      <c r="A47" s="2"/>
      <c r="B47" s="4" t="s">
        <v>42</v>
      </c>
    </row>
    <row r="48" spans="1:2" s="4" customFormat="1" ht="15.75">
      <c r="A48" s="2"/>
      <c r="B48" s="4" t="s">
        <v>43</v>
      </c>
    </row>
    <row r="49" spans="1:2" s="4" customFormat="1" ht="15.75">
      <c r="A49" s="2"/>
      <c r="B49" s="4" t="s">
        <v>32</v>
      </c>
    </row>
    <row r="50" spans="1:2" s="4" customFormat="1" ht="15.75">
      <c r="A50" s="2"/>
      <c r="B50" s="4" t="s">
        <v>44</v>
      </c>
    </row>
    <row r="51" spans="1:2" s="4" customFormat="1" ht="15.75">
      <c r="A51" s="2"/>
      <c r="B51" s="4" t="s">
        <v>34</v>
      </c>
    </row>
    <row r="52" spans="1:2" s="4" customFormat="1" ht="15.75">
      <c r="A52" s="2"/>
      <c r="B52" s="4" t="s">
        <v>35</v>
      </c>
    </row>
    <row r="53" spans="1:2" s="4" customFormat="1" ht="15.75">
      <c r="A53" s="2"/>
      <c r="B53" s="4" t="s">
        <v>36</v>
      </c>
    </row>
    <row r="54" spans="1:2" s="4" customFormat="1" ht="15.75">
      <c r="A54" s="2"/>
      <c r="B54" s="4" t="s">
        <v>37</v>
      </c>
    </row>
    <row r="55" spans="1:2" s="4" customFormat="1" ht="15.75">
      <c r="A55" s="2"/>
      <c r="B55" s="4" t="s">
        <v>38</v>
      </c>
    </row>
    <row r="56" spans="1:2" s="4" customFormat="1" ht="15.75">
      <c r="A56" s="2"/>
      <c r="B56" s="4" t="s">
        <v>39</v>
      </c>
    </row>
    <row r="57" spans="1:2" s="4" customFormat="1" ht="15.75">
      <c r="A57" s="2"/>
      <c r="B57" s="4" t="s">
        <v>40</v>
      </c>
    </row>
    <row r="58" spans="1:2" s="4" customFormat="1" ht="15.75">
      <c r="A58" s="2"/>
    </row>
  </sheetData>
  <phoneticPr fontId="118" type="noConversion"/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124"/>
  <sheetViews>
    <sheetView topLeftCell="A27" zoomScale="60" zoomScaleNormal="60" workbookViewId="0">
      <selection activeCell="I36" sqref="I36"/>
    </sheetView>
  </sheetViews>
  <sheetFormatPr defaultRowHeight="17.25"/>
  <cols>
    <col min="1" max="1" width="3.33203125" style="121" customWidth="1"/>
    <col min="2" max="2" width="19.109375" style="121" customWidth="1"/>
    <col min="3" max="5" width="10.6640625" style="121" customWidth="1"/>
    <col min="6" max="6" width="11" style="121" customWidth="1"/>
    <col min="7" max="7" width="10.6640625" style="121" customWidth="1"/>
    <col min="8" max="8" width="11" style="121" customWidth="1"/>
    <col min="9" max="9" width="12.6640625" style="121" customWidth="1"/>
    <col min="10" max="10" width="10.6640625" style="121" customWidth="1"/>
    <col min="11" max="11" width="14" style="121" customWidth="1"/>
    <col min="12" max="1025" width="7.6640625" style="121" customWidth="1"/>
  </cols>
  <sheetData>
    <row r="1" spans="2:10" ht="18.75">
      <c r="B1" s="401" t="s">
        <v>747</v>
      </c>
      <c r="C1" s="123"/>
      <c r="D1" s="123"/>
      <c r="E1" s="124"/>
      <c r="F1" s="124"/>
      <c r="G1" s="124"/>
    </row>
    <row r="2" spans="2:10">
      <c r="B2" s="122"/>
      <c r="C2" s="123"/>
      <c r="D2" s="123"/>
      <c r="E2" s="124"/>
      <c r="F2" s="124"/>
      <c r="G2" s="124"/>
    </row>
    <row r="3" spans="2:10">
      <c r="B3" s="122" t="s">
        <v>748</v>
      </c>
      <c r="C3" s="123"/>
      <c r="D3" s="123"/>
      <c r="E3" s="124"/>
      <c r="F3" s="124"/>
      <c r="G3" s="124"/>
    </row>
    <row r="4" spans="2:10">
      <c r="B4" s="124"/>
      <c r="C4" s="124"/>
      <c r="D4" s="122" t="s">
        <v>749</v>
      </c>
      <c r="E4" s="122"/>
      <c r="F4" s="123"/>
      <c r="G4" s="124"/>
    </row>
    <row r="5" spans="2:10">
      <c r="B5" s="124"/>
      <c r="C5" s="124"/>
      <c r="D5" s="402" t="s">
        <v>750</v>
      </c>
      <c r="E5" s="402"/>
      <c r="F5" s="233"/>
      <c r="G5" s="235"/>
      <c r="H5" s="237"/>
      <c r="I5" s="237"/>
    </row>
    <row r="6" spans="2:10">
      <c r="B6" s="403"/>
      <c r="C6" s="403"/>
      <c r="D6" s="404"/>
      <c r="E6" s="237"/>
      <c r="F6" s="237"/>
      <c r="G6" s="237"/>
      <c r="H6" s="237"/>
    </row>
    <row r="7" spans="2:10">
      <c r="C7" s="240" t="s">
        <v>404</v>
      </c>
      <c r="D7" s="240" t="s">
        <v>444</v>
      </c>
      <c r="E7" s="240" t="s">
        <v>445</v>
      </c>
      <c r="F7" s="405" t="s">
        <v>446</v>
      </c>
      <c r="G7" s="240" t="s">
        <v>438</v>
      </c>
      <c r="H7" s="240" t="s">
        <v>439</v>
      </c>
      <c r="I7" s="406"/>
    </row>
    <row r="8" spans="2:10" ht="18" customHeight="1">
      <c r="C8" s="244" t="s">
        <v>447</v>
      </c>
      <c r="D8" s="244" t="s">
        <v>448</v>
      </c>
      <c r="E8" s="244" t="s">
        <v>449</v>
      </c>
      <c r="F8" s="244" t="s">
        <v>450</v>
      </c>
      <c r="G8" s="407" t="s">
        <v>451</v>
      </c>
      <c r="H8" s="407" t="s">
        <v>452</v>
      </c>
      <c r="I8" s="408"/>
    </row>
    <row r="9" spans="2:10">
      <c r="C9" s="244" t="s">
        <v>459</v>
      </c>
      <c r="D9" s="244" t="s">
        <v>460</v>
      </c>
      <c r="E9" s="244" t="s">
        <v>461</v>
      </c>
      <c r="F9" s="244" t="s">
        <v>462</v>
      </c>
      <c r="G9" s="244" t="s">
        <v>454</v>
      </c>
      <c r="H9" s="244" t="s">
        <v>453</v>
      </c>
      <c r="I9" s="408"/>
    </row>
    <row r="10" spans="2:10">
      <c r="C10" s="244" t="s">
        <v>458</v>
      </c>
      <c r="D10" s="244" t="s">
        <v>457</v>
      </c>
      <c r="E10" s="244" t="s">
        <v>456</v>
      </c>
      <c r="F10" s="244" t="s">
        <v>455</v>
      </c>
      <c r="G10" s="244" t="s">
        <v>463</v>
      </c>
      <c r="H10" s="244" t="s">
        <v>464</v>
      </c>
      <c r="I10" s="408"/>
    </row>
    <row r="11" spans="2:10">
      <c r="C11" s="409"/>
      <c r="H11" s="244" t="s">
        <v>465</v>
      </c>
      <c r="I11" s="408"/>
    </row>
    <row r="12" spans="2:10">
      <c r="B12" s="128"/>
    </row>
    <row r="13" spans="2:10">
      <c r="B13" s="128"/>
    </row>
    <row r="14" spans="2:10" s="124" customFormat="1" ht="16.5">
      <c r="B14" s="122"/>
      <c r="C14" s="410" t="s">
        <v>751</v>
      </c>
      <c r="E14" s="402"/>
      <c r="F14" s="402"/>
      <c r="G14" s="402"/>
      <c r="H14" s="122"/>
      <c r="I14" s="122"/>
      <c r="J14" s="122"/>
    </row>
    <row r="15" spans="2:10" s="124" customFormat="1" ht="16.5">
      <c r="B15" s="402"/>
      <c r="C15" s="402" t="s">
        <v>752</v>
      </c>
      <c r="D15" s="402"/>
      <c r="E15" s="402"/>
      <c r="F15" s="402"/>
      <c r="G15" s="402"/>
      <c r="H15" s="122"/>
      <c r="I15" s="122"/>
      <c r="J15" s="122"/>
    </row>
    <row r="16" spans="2:10" s="124" customFormat="1" ht="16.5">
      <c r="B16" s="402"/>
      <c r="C16" s="410" t="s">
        <v>753</v>
      </c>
      <c r="E16" s="402"/>
      <c r="F16" s="402"/>
      <c r="G16" s="402"/>
      <c r="H16" s="122"/>
      <c r="I16" s="122"/>
      <c r="J16" s="122"/>
    </row>
    <row r="17" spans="2:19" s="124" customFormat="1" ht="16.5">
      <c r="B17" s="122"/>
    </row>
    <row r="18" spans="2:19" s="124" customFormat="1" ht="16.5">
      <c r="B18" s="122" t="s">
        <v>754</v>
      </c>
      <c r="D18" s="231"/>
    </row>
    <row r="19" spans="2:19" ht="18" customHeight="1">
      <c r="C19" s="159"/>
      <c r="D19" s="129"/>
      <c r="E19" s="130" t="s">
        <v>119</v>
      </c>
    </row>
    <row r="20" spans="2:19" ht="18" customHeight="1">
      <c r="B20" s="20"/>
      <c r="C20" s="20"/>
      <c r="D20" s="20"/>
      <c r="E20" s="111" t="str">
        <f>女乙賽程!R8</f>
        <v>荃青—黑寶</v>
      </c>
      <c r="F20" s="411"/>
      <c r="G20" s="253"/>
      <c r="H20" s="255"/>
      <c r="I20" s="255"/>
      <c r="J20" s="255"/>
      <c r="K20" s="255"/>
      <c r="N20" s="129"/>
    </row>
    <row r="21" spans="2:19" ht="18" customHeight="1">
      <c r="B21" s="20"/>
      <c r="C21" s="20"/>
      <c r="D21" s="20"/>
      <c r="E21" s="20"/>
      <c r="F21" s="412" t="s">
        <v>755</v>
      </c>
      <c r="G21" s="270"/>
      <c r="H21" s="160"/>
      <c r="I21" s="255"/>
      <c r="J21" s="255"/>
      <c r="K21" s="255"/>
      <c r="N21" s="129"/>
    </row>
    <row r="22" spans="2:19" ht="18" customHeight="1">
      <c r="B22" s="20"/>
      <c r="C22" s="413"/>
      <c r="D22" s="414"/>
      <c r="E22" s="20"/>
      <c r="F22" s="415" t="s">
        <v>756</v>
      </c>
      <c r="G22" s="416"/>
      <c r="H22" s="160"/>
      <c r="I22" s="255"/>
      <c r="J22" s="255"/>
      <c r="K22" s="255"/>
      <c r="L22" s="255"/>
      <c r="M22" s="417"/>
      <c r="N22" s="418"/>
    </row>
    <row r="23" spans="2:19" ht="18" customHeight="1">
      <c r="B23" s="20"/>
      <c r="C23" s="206" t="s">
        <v>402</v>
      </c>
      <c r="D23" s="20"/>
      <c r="E23" s="20"/>
      <c r="F23" s="419"/>
      <c r="G23" s="420"/>
      <c r="H23" s="421" t="s">
        <v>322</v>
      </c>
      <c r="I23" s="255"/>
      <c r="J23" s="255"/>
      <c r="K23" s="255"/>
      <c r="L23" s="255"/>
      <c r="M23" s="422"/>
      <c r="N23" s="129"/>
      <c r="O23" s="253"/>
      <c r="P23" s="255"/>
      <c r="Q23" s="255"/>
      <c r="R23" s="255"/>
      <c r="S23" s="255"/>
    </row>
    <row r="24" spans="2:19" ht="18" customHeight="1">
      <c r="B24" s="20"/>
      <c r="C24" s="111" t="str">
        <f>C73</f>
        <v>GLORY</v>
      </c>
      <c r="D24" s="423" t="s">
        <v>185</v>
      </c>
      <c r="E24" s="20"/>
      <c r="F24" s="424"/>
      <c r="G24" s="253"/>
      <c r="H24" s="262"/>
      <c r="I24" s="264"/>
      <c r="J24" s="255"/>
      <c r="K24" s="255"/>
      <c r="L24" s="255"/>
      <c r="N24" s="425"/>
      <c r="O24" s="253"/>
      <c r="P24" s="160"/>
      <c r="Q24" s="255"/>
      <c r="R24" s="255"/>
      <c r="S24" s="255"/>
    </row>
    <row r="25" spans="2:19" ht="18" customHeight="1">
      <c r="B25" s="20"/>
      <c r="C25" s="20"/>
      <c r="D25" s="426" t="s">
        <v>757</v>
      </c>
      <c r="E25" s="427"/>
      <c r="F25" s="428" t="str">
        <f>C24</f>
        <v>GLORY</v>
      </c>
      <c r="G25" s="267"/>
      <c r="H25" s="262"/>
      <c r="I25" s="264"/>
      <c r="J25" s="255"/>
      <c r="K25" s="255"/>
      <c r="L25" s="255"/>
      <c r="N25" s="417"/>
      <c r="O25" s="429"/>
      <c r="P25" s="254"/>
      <c r="Q25" s="255"/>
      <c r="R25" s="255"/>
      <c r="S25" s="255"/>
    </row>
    <row r="26" spans="2:19" ht="18" customHeight="1">
      <c r="B26" s="20"/>
      <c r="D26" s="430"/>
      <c r="E26" s="431"/>
      <c r="F26" s="374"/>
      <c r="G26" s="253"/>
      <c r="H26" s="262"/>
      <c r="I26" s="264"/>
      <c r="J26" s="255"/>
      <c r="K26" s="255"/>
      <c r="L26" s="255"/>
      <c r="N26" s="432"/>
      <c r="O26" s="433"/>
      <c r="P26" s="254"/>
      <c r="Q26" s="255"/>
      <c r="R26" s="255"/>
      <c r="S26" s="255"/>
    </row>
    <row r="27" spans="2:19" ht="18" customHeight="1">
      <c r="B27" s="20"/>
      <c r="C27" s="206" t="s">
        <v>402</v>
      </c>
      <c r="D27" s="434"/>
      <c r="E27" s="20"/>
      <c r="F27" s="435"/>
      <c r="G27" s="435"/>
      <c r="H27" s="412" t="s">
        <v>758</v>
      </c>
      <c r="I27" s="435"/>
      <c r="J27" s="255"/>
      <c r="K27" s="255"/>
      <c r="L27" s="255"/>
      <c r="M27" s="417"/>
      <c r="N27" s="160"/>
      <c r="O27" s="436"/>
      <c r="P27" s="254"/>
      <c r="Q27" s="255"/>
      <c r="R27" s="255"/>
      <c r="S27" s="255"/>
    </row>
    <row r="28" spans="2:19" ht="18" customHeight="1">
      <c r="B28" s="20"/>
      <c r="C28" s="111" t="str">
        <f>C71</f>
        <v>BYE</v>
      </c>
      <c r="D28" s="437" t="s">
        <v>191</v>
      </c>
      <c r="E28" s="20"/>
      <c r="F28" s="253"/>
      <c r="G28" s="435"/>
      <c r="H28" s="412"/>
      <c r="I28" s="435"/>
      <c r="J28" s="255"/>
      <c r="K28" s="255"/>
      <c r="L28" s="255"/>
      <c r="M28" s="422"/>
      <c r="N28" s="425"/>
      <c r="O28" s="433"/>
      <c r="P28" s="254"/>
      <c r="Q28" s="255"/>
      <c r="R28" s="255"/>
      <c r="S28" s="255"/>
    </row>
    <row r="29" spans="2:19" ht="18" customHeight="1">
      <c r="B29" s="20"/>
      <c r="C29" s="20"/>
      <c r="D29" s="20"/>
      <c r="E29" s="20"/>
      <c r="F29" s="253"/>
      <c r="G29" s="435"/>
      <c r="H29" s="419"/>
      <c r="I29" s="435"/>
      <c r="J29" s="255"/>
      <c r="K29" s="255"/>
      <c r="L29" s="255"/>
      <c r="N29" s="425"/>
      <c r="O29" s="438"/>
      <c r="P29" s="438"/>
      <c r="Q29" s="438"/>
      <c r="R29" s="255"/>
      <c r="S29" s="255"/>
    </row>
    <row r="30" spans="2:19" ht="18" customHeight="1">
      <c r="B30" s="20"/>
      <c r="C30" s="20"/>
      <c r="D30" s="20"/>
      <c r="E30" s="20"/>
      <c r="F30" s="253"/>
      <c r="G30" s="253"/>
      <c r="H30" s="143"/>
      <c r="L30" s="255"/>
      <c r="N30" s="425"/>
      <c r="O30" s="438"/>
      <c r="P30" s="438"/>
      <c r="Q30" s="438"/>
      <c r="R30" s="255"/>
      <c r="S30" s="255"/>
    </row>
    <row r="31" spans="2:19" ht="18" customHeight="1">
      <c r="B31" s="20"/>
      <c r="C31" s="20"/>
      <c r="D31" s="20"/>
      <c r="E31" s="206" t="s">
        <v>131</v>
      </c>
      <c r="F31" s="160"/>
      <c r="G31" s="255"/>
      <c r="H31" s="262"/>
      <c r="L31" s="255"/>
      <c r="N31" s="425"/>
      <c r="O31" s="433"/>
      <c r="P31" s="432"/>
    </row>
    <row r="32" spans="2:19" ht="18" customHeight="1">
      <c r="B32" s="20"/>
      <c r="C32" s="20"/>
      <c r="D32" s="20"/>
      <c r="E32" s="111" t="str">
        <f>女乙賽程!R20</f>
        <v>The Passionate Miami</v>
      </c>
      <c r="F32" s="439"/>
      <c r="G32" s="253"/>
      <c r="H32" s="262"/>
      <c r="M32" s="417"/>
      <c r="N32" s="160"/>
      <c r="O32" s="429"/>
      <c r="P32" s="254"/>
    </row>
    <row r="33" spans="2:19" ht="18" customHeight="1">
      <c r="B33" s="20"/>
      <c r="C33" s="20"/>
      <c r="D33" s="20"/>
      <c r="E33" s="20"/>
      <c r="F33" s="263"/>
      <c r="G33" s="253"/>
      <c r="H33" s="262"/>
      <c r="I33" s="440"/>
      <c r="J33" s="421" t="str">
        <f>H34</f>
        <v>The Passionate Miami</v>
      </c>
      <c r="K33" s="255"/>
      <c r="M33" s="417"/>
      <c r="N33" s="129"/>
      <c r="O33" s="253"/>
      <c r="P33" s="254"/>
      <c r="R33" s="129"/>
    </row>
    <row r="34" spans="2:19" ht="18" customHeight="1">
      <c r="B34" s="20"/>
      <c r="C34" s="20"/>
      <c r="D34" s="20"/>
      <c r="E34" s="20"/>
      <c r="F34" s="412" t="s">
        <v>759</v>
      </c>
      <c r="G34" s="275"/>
      <c r="H34" s="421" t="str">
        <f>E32</f>
        <v>The Passionate Miami</v>
      </c>
      <c r="I34" s="264"/>
      <c r="J34" s="153"/>
      <c r="K34" s="255"/>
      <c r="N34" s="425"/>
      <c r="O34" s="253"/>
      <c r="P34" s="254"/>
      <c r="Q34" s="254"/>
      <c r="R34" s="255"/>
      <c r="S34" s="255"/>
    </row>
    <row r="35" spans="2:19" ht="18" customHeight="1">
      <c r="B35" s="20"/>
      <c r="C35" s="206" t="s">
        <v>402</v>
      </c>
      <c r="D35" s="206" t="s">
        <v>197</v>
      </c>
      <c r="E35" s="20"/>
      <c r="F35" s="419"/>
      <c r="G35" s="253"/>
      <c r="H35" s="160"/>
      <c r="I35" s="255"/>
      <c r="J35" s="153"/>
      <c r="K35" s="255"/>
      <c r="L35" s="255"/>
      <c r="N35" s="417"/>
      <c r="O35" s="253"/>
      <c r="P35" s="129"/>
      <c r="Q35" s="255"/>
      <c r="R35" s="255"/>
      <c r="S35" s="255"/>
    </row>
    <row r="36" spans="2:19" ht="18" customHeight="1">
      <c r="B36" s="20"/>
      <c r="C36" s="111" t="str">
        <f>C70</f>
        <v>BUTTERFLY S</v>
      </c>
      <c r="D36" s="423"/>
      <c r="E36" s="20"/>
      <c r="F36" s="424"/>
      <c r="G36" s="253"/>
      <c r="H36" s="254"/>
      <c r="I36" s="255"/>
      <c r="J36" s="153"/>
      <c r="K36" s="255"/>
      <c r="L36" s="255"/>
      <c r="N36" s="432"/>
      <c r="O36" s="433"/>
      <c r="P36" s="160"/>
      <c r="Q36" s="255"/>
      <c r="R36" s="255"/>
      <c r="S36" s="255"/>
    </row>
    <row r="37" spans="2:19" ht="18" customHeight="1">
      <c r="B37" s="20"/>
      <c r="C37" s="20"/>
      <c r="D37" s="426" t="s">
        <v>760</v>
      </c>
      <c r="E37" s="427"/>
      <c r="F37" s="428" t="s">
        <v>322</v>
      </c>
      <c r="G37" s="253"/>
      <c r="H37" s="254"/>
      <c r="I37" s="255"/>
      <c r="J37" s="153"/>
      <c r="K37" s="255"/>
      <c r="L37" s="255"/>
      <c r="N37" s="425"/>
      <c r="O37" s="253"/>
      <c r="P37" s="254"/>
      <c r="Q37" s="255"/>
      <c r="R37" s="255"/>
      <c r="S37" s="255"/>
    </row>
    <row r="38" spans="2:19" ht="18" customHeight="1">
      <c r="B38" s="20"/>
      <c r="D38" s="415" t="s">
        <v>756</v>
      </c>
      <c r="E38" s="431"/>
      <c r="F38" s="374"/>
      <c r="G38" s="253"/>
      <c r="H38" s="254"/>
      <c r="I38" s="255"/>
      <c r="J38" s="153"/>
      <c r="K38" s="255"/>
      <c r="L38" s="255"/>
      <c r="M38" s="417"/>
      <c r="N38" s="425"/>
      <c r="O38" s="253"/>
      <c r="P38" s="254"/>
      <c r="Q38" s="255"/>
      <c r="R38" s="255"/>
      <c r="S38" s="255"/>
    </row>
    <row r="39" spans="2:19" ht="18" customHeight="1">
      <c r="B39" s="20"/>
      <c r="C39" s="206" t="s">
        <v>402</v>
      </c>
      <c r="D39" s="434"/>
      <c r="E39" s="20"/>
      <c r="F39" s="435"/>
      <c r="G39" s="255"/>
      <c r="H39" s="255"/>
      <c r="J39" s="441"/>
      <c r="K39" s="442" t="s">
        <v>761</v>
      </c>
      <c r="L39" s="660" t="str">
        <f>J49</f>
        <v>Reunion</v>
      </c>
      <c r="M39" s="422"/>
      <c r="N39" s="418"/>
      <c r="O39" s="253"/>
      <c r="P39" s="254"/>
      <c r="Q39" s="255"/>
      <c r="R39" s="255"/>
      <c r="S39" s="255"/>
    </row>
    <row r="40" spans="2:19" ht="18" customHeight="1">
      <c r="B40" s="20"/>
      <c r="C40" s="111" t="str">
        <f>C74</f>
        <v>麥糖</v>
      </c>
      <c r="D40" s="437" t="s">
        <v>149</v>
      </c>
      <c r="E40" s="20"/>
      <c r="F40" s="253"/>
      <c r="G40" s="267"/>
      <c r="H40" s="255"/>
      <c r="J40" s="276" t="s">
        <v>762</v>
      </c>
      <c r="K40" s="443" t="s">
        <v>374</v>
      </c>
      <c r="L40" s="660"/>
      <c r="N40" s="417"/>
      <c r="O40" s="429"/>
      <c r="P40" s="255"/>
      <c r="Q40" s="438"/>
      <c r="R40" s="255"/>
      <c r="S40" s="438"/>
    </row>
    <row r="41" spans="2:19" ht="18" customHeight="1">
      <c r="B41" s="20"/>
      <c r="C41" s="20"/>
      <c r="D41" s="20"/>
      <c r="E41" s="20"/>
      <c r="F41" s="253"/>
      <c r="G41" s="267"/>
      <c r="H41" s="254"/>
      <c r="I41" s="444"/>
      <c r="J41" s="263"/>
      <c r="K41" s="444"/>
      <c r="L41" s="435"/>
      <c r="N41" s="425"/>
      <c r="O41" s="436"/>
      <c r="P41" s="255"/>
      <c r="Q41" s="445"/>
      <c r="R41" s="253"/>
      <c r="S41" s="445"/>
    </row>
    <row r="42" spans="2:19" ht="18" customHeight="1">
      <c r="B42" s="20"/>
      <c r="C42" s="20"/>
      <c r="D42" s="20"/>
      <c r="E42" s="20"/>
      <c r="F42" s="129"/>
      <c r="H42" s="129"/>
      <c r="J42" s="153"/>
      <c r="L42" s="253"/>
      <c r="N42" s="129"/>
      <c r="P42" s="129"/>
      <c r="R42" s="255"/>
    </row>
    <row r="43" spans="2:19" ht="18" customHeight="1">
      <c r="B43" s="20"/>
      <c r="C43" s="20"/>
      <c r="D43" s="20"/>
      <c r="E43" s="206" t="s">
        <v>125</v>
      </c>
      <c r="F43" s="374"/>
      <c r="H43" s="129"/>
      <c r="I43" s="255"/>
      <c r="J43" s="153"/>
      <c r="K43" s="255"/>
      <c r="L43" s="444"/>
      <c r="M43" s="417"/>
      <c r="N43" s="129"/>
      <c r="P43" s="129"/>
      <c r="Q43" s="255"/>
      <c r="R43" s="255"/>
      <c r="S43" s="255"/>
    </row>
    <row r="44" spans="2:19" ht="18" customHeight="1">
      <c r="B44" s="20"/>
      <c r="C44" s="20"/>
      <c r="D44" s="20"/>
      <c r="E44" s="111" t="str">
        <f>女乙賽程!Y8</f>
        <v>SYNERGY</v>
      </c>
      <c r="F44" s="411"/>
      <c r="G44" s="253"/>
      <c r="H44" s="446"/>
      <c r="I44" s="255"/>
      <c r="J44" s="153"/>
      <c r="K44" s="255"/>
      <c r="M44" s="417"/>
      <c r="N44" s="425"/>
      <c r="O44" s="253"/>
      <c r="P44" s="254"/>
      <c r="Q44" s="255"/>
      <c r="R44" s="255"/>
      <c r="S44" s="255"/>
    </row>
    <row r="45" spans="2:19" ht="18" customHeight="1">
      <c r="B45" s="20"/>
      <c r="C45" s="413"/>
      <c r="D45" s="413"/>
      <c r="E45" s="20"/>
      <c r="F45" s="412" t="s">
        <v>763</v>
      </c>
      <c r="G45" s="258"/>
      <c r="I45" s="255"/>
      <c r="J45" s="153"/>
      <c r="K45" s="255"/>
      <c r="L45" s="255"/>
      <c r="N45" s="425"/>
      <c r="O45" s="253"/>
      <c r="P45" s="160"/>
      <c r="Q45" s="255"/>
      <c r="R45" s="255"/>
      <c r="S45" s="255"/>
    </row>
    <row r="46" spans="2:19" ht="18" customHeight="1">
      <c r="B46" s="20"/>
      <c r="C46" s="206" t="s">
        <v>402</v>
      </c>
      <c r="D46" s="20"/>
      <c r="E46" s="20"/>
      <c r="F46" s="419"/>
      <c r="G46" s="255"/>
      <c r="H46" s="421" t="str">
        <f>F48</f>
        <v>Reunion</v>
      </c>
      <c r="I46" s="255"/>
      <c r="J46" s="153"/>
      <c r="K46" s="255"/>
      <c r="L46" s="255"/>
      <c r="N46" s="417"/>
      <c r="O46" s="429"/>
      <c r="P46" s="254"/>
      <c r="Q46" s="255"/>
      <c r="R46" s="255"/>
      <c r="S46" s="255"/>
    </row>
    <row r="47" spans="2:19" ht="18" customHeight="1">
      <c r="B47" s="20"/>
      <c r="C47" s="111" t="str">
        <f>C72</f>
        <v>Reunion</v>
      </c>
      <c r="D47" s="423" t="s">
        <v>143</v>
      </c>
      <c r="E47" s="20"/>
      <c r="F47" s="424"/>
      <c r="G47" s="255"/>
      <c r="H47" s="262"/>
      <c r="I47" s="255"/>
      <c r="J47" s="153"/>
      <c r="K47" s="255"/>
      <c r="L47" s="255"/>
      <c r="N47" s="432"/>
      <c r="O47" s="433"/>
      <c r="P47" s="254"/>
      <c r="Q47" s="255"/>
      <c r="R47" s="255"/>
      <c r="S47" s="255"/>
    </row>
    <row r="48" spans="2:19" ht="18" customHeight="1">
      <c r="B48" s="20"/>
      <c r="C48" s="20"/>
      <c r="D48" s="426" t="s">
        <v>764</v>
      </c>
      <c r="E48" s="427"/>
      <c r="F48" s="428" t="str">
        <f>C47</f>
        <v>Reunion</v>
      </c>
      <c r="G48" s="253"/>
      <c r="H48" s="262"/>
      <c r="I48" s="255"/>
      <c r="J48" s="153"/>
      <c r="K48" s="255"/>
      <c r="L48" s="255"/>
      <c r="M48" s="417"/>
      <c r="N48" s="160"/>
      <c r="O48" s="436"/>
      <c r="P48" s="254"/>
      <c r="Q48" s="253"/>
      <c r="R48" s="255"/>
      <c r="S48" s="255"/>
    </row>
    <row r="49" spans="2:19" ht="18" customHeight="1">
      <c r="B49" s="20"/>
      <c r="D49" s="447" t="s">
        <v>765</v>
      </c>
      <c r="E49" s="431"/>
      <c r="F49" s="374"/>
      <c r="G49" s="267"/>
      <c r="H49" s="262"/>
      <c r="I49" s="275"/>
      <c r="J49" s="421" t="str">
        <f>H46</f>
        <v>Reunion</v>
      </c>
      <c r="K49" s="255"/>
      <c r="L49" s="255"/>
      <c r="M49" s="417"/>
      <c r="N49" s="425"/>
      <c r="O49" s="433"/>
      <c r="P49" s="254"/>
      <c r="R49" s="255"/>
      <c r="S49" s="255"/>
    </row>
    <row r="50" spans="2:19" ht="18" customHeight="1">
      <c r="B50" s="20"/>
      <c r="C50" s="206" t="s">
        <v>402</v>
      </c>
      <c r="D50" s="434"/>
      <c r="E50" s="20"/>
      <c r="F50" s="435"/>
      <c r="G50" s="253"/>
      <c r="H50" s="262"/>
      <c r="K50" s="255"/>
      <c r="L50" s="255"/>
      <c r="N50" s="425"/>
      <c r="O50" s="438"/>
      <c r="P50" s="438"/>
      <c r="Q50" s="253"/>
      <c r="R50" s="255"/>
      <c r="S50" s="255"/>
    </row>
    <row r="51" spans="2:19" ht="18" customHeight="1">
      <c r="B51" s="20"/>
      <c r="C51" s="111" t="str">
        <f>C75</f>
        <v>VANICA</v>
      </c>
      <c r="D51" s="437" t="s">
        <v>179</v>
      </c>
      <c r="E51" s="20"/>
      <c r="F51" s="253"/>
      <c r="G51" s="435"/>
      <c r="H51" s="412" t="s">
        <v>766</v>
      </c>
      <c r="I51" s="253"/>
      <c r="J51" s="255"/>
      <c r="K51" s="255"/>
      <c r="L51" s="255"/>
      <c r="N51" s="425"/>
      <c r="O51" s="433"/>
      <c r="P51" s="432"/>
      <c r="S51" s="255"/>
    </row>
    <row r="52" spans="2:19" ht="18" customHeight="1">
      <c r="B52" s="20"/>
      <c r="C52" s="20"/>
      <c r="D52" s="20"/>
      <c r="E52" s="20"/>
      <c r="F52" s="253"/>
      <c r="G52" s="253"/>
      <c r="H52" s="448" t="s">
        <v>767</v>
      </c>
      <c r="K52" s="255"/>
      <c r="N52" s="425"/>
      <c r="O52" s="433"/>
      <c r="P52" s="254"/>
      <c r="S52" s="255"/>
    </row>
    <row r="53" spans="2:19" ht="18" customHeight="1">
      <c r="B53" s="20"/>
      <c r="C53" s="20"/>
      <c r="D53" s="20"/>
      <c r="E53" s="20"/>
      <c r="F53" s="253"/>
      <c r="G53" s="253"/>
      <c r="H53" s="262"/>
      <c r="M53" s="449"/>
      <c r="N53" s="417"/>
      <c r="O53" s="429"/>
      <c r="P53" s="254"/>
      <c r="S53" s="255"/>
    </row>
    <row r="54" spans="2:19" ht="18" customHeight="1">
      <c r="B54" s="20"/>
      <c r="C54" s="20"/>
      <c r="D54" s="20"/>
      <c r="E54" s="20"/>
      <c r="F54" s="435"/>
      <c r="G54" s="255"/>
      <c r="H54" s="262"/>
      <c r="M54" s="417"/>
      <c r="N54" s="450"/>
      <c r="O54" s="253"/>
      <c r="P54" s="254"/>
      <c r="S54" s="255"/>
    </row>
    <row r="55" spans="2:19" ht="18" customHeight="1">
      <c r="B55" s="20"/>
      <c r="C55" s="20"/>
      <c r="D55" s="20"/>
      <c r="E55" s="206" t="s">
        <v>137</v>
      </c>
      <c r="F55" s="160"/>
      <c r="G55" s="451"/>
      <c r="H55" s="262"/>
      <c r="M55" s="417"/>
      <c r="N55" s="452"/>
      <c r="O55" s="253"/>
      <c r="P55" s="254"/>
    </row>
    <row r="56" spans="2:19" ht="18" customHeight="1">
      <c r="B56" s="20"/>
      <c r="C56" s="20"/>
      <c r="D56" s="20"/>
      <c r="E56" s="111" t="str">
        <f>女乙賽程!Y20</f>
        <v>Limit</v>
      </c>
      <c r="F56" s="411"/>
      <c r="G56" s="253"/>
      <c r="H56" s="262"/>
      <c r="L56" s="255"/>
      <c r="N56" s="417"/>
      <c r="O56" s="253"/>
      <c r="P56" s="129"/>
      <c r="Q56" s="255"/>
    </row>
    <row r="57" spans="2:19" ht="18" customHeight="1">
      <c r="B57" s="20"/>
      <c r="C57" s="20"/>
      <c r="D57" s="20"/>
      <c r="E57" s="20"/>
      <c r="F57" s="412" t="s">
        <v>768</v>
      </c>
      <c r="G57" s="275"/>
      <c r="H57" s="421" t="str">
        <f>F60</f>
        <v xml:space="preserve">Blue team </v>
      </c>
      <c r="I57" s="255"/>
      <c r="N57" s="425"/>
      <c r="O57" s="433"/>
      <c r="P57" s="160"/>
      <c r="Q57" s="453"/>
      <c r="R57" s="454"/>
      <c r="S57" s="455"/>
    </row>
    <row r="58" spans="2:19" ht="18" customHeight="1">
      <c r="B58" s="20"/>
      <c r="C58" s="206" t="s">
        <v>402</v>
      </c>
      <c r="D58" s="20"/>
      <c r="E58" s="20"/>
      <c r="F58" s="456" t="s">
        <v>769</v>
      </c>
      <c r="G58" s="253"/>
      <c r="H58" s="160"/>
      <c r="I58" s="152"/>
      <c r="J58" s="152"/>
      <c r="K58" s="248" t="s">
        <v>322</v>
      </c>
      <c r="L58" s="380"/>
      <c r="N58" s="129"/>
      <c r="O58" s="253"/>
      <c r="P58" s="255"/>
      <c r="Q58" s="453"/>
      <c r="R58" s="454"/>
      <c r="S58" s="455"/>
    </row>
    <row r="59" spans="2:19" ht="18" customHeight="1">
      <c r="B59" s="20"/>
      <c r="C59" s="111" t="str">
        <f>C68</f>
        <v xml:space="preserve">Blue team </v>
      </c>
      <c r="D59" s="423" t="s">
        <v>209</v>
      </c>
      <c r="E59" s="20"/>
      <c r="F59" s="424"/>
      <c r="G59" s="253"/>
      <c r="H59" s="255"/>
      <c r="I59" s="152"/>
      <c r="J59" s="457" t="s">
        <v>770</v>
      </c>
      <c r="M59" s="458"/>
      <c r="N59" s="661" t="str">
        <f>K62</f>
        <v xml:space="preserve">Blue team </v>
      </c>
      <c r="O59" s="253"/>
      <c r="P59" s="255"/>
      <c r="Q59" s="453"/>
      <c r="R59" s="454"/>
      <c r="S59" s="455"/>
    </row>
    <row r="60" spans="2:19" ht="18" customHeight="1">
      <c r="B60" s="20"/>
      <c r="C60" s="20"/>
      <c r="D60" s="426" t="s">
        <v>771</v>
      </c>
      <c r="E60" s="427"/>
      <c r="F60" s="428" t="str">
        <f>C59</f>
        <v xml:space="preserve">Blue team </v>
      </c>
      <c r="G60" s="253"/>
      <c r="H60" s="255"/>
      <c r="I60" s="152"/>
      <c r="J60" s="459" t="s">
        <v>381</v>
      </c>
      <c r="L60" s="150"/>
      <c r="M60" s="229"/>
      <c r="N60" s="661"/>
      <c r="O60" s="253"/>
      <c r="P60" s="255"/>
      <c r="Q60" s="453"/>
      <c r="R60" s="454"/>
      <c r="S60" s="455"/>
    </row>
    <row r="61" spans="2:19" ht="18" customHeight="1">
      <c r="B61" s="460"/>
      <c r="D61" s="461" t="s">
        <v>772</v>
      </c>
      <c r="E61" s="431"/>
      <c r="F61" s="374"/>
      <c r="G61" s="152"/>
      <c r="H61" s="255"/>
      <c r="I61" s="256"/>
      <c r="K61" s="135"/>
      <c r="L61" s="143"/>
      <c r="N61" s="129"/>
      <c r="O61" s="429"/>
      <c r="P61" s="255"/>
      <c r="Q61" s="453"/>
      <c r="R61" s="454"/>
      <c r="S61" s="455"/>
    </row>
    <row r="62" spans="2:19" ht="18" customHeight="1">
      <c r="B62" s="140"/>
      <c r="C62" s="206" t="s">
        <v>402</v>
      </c>
      <c r="D62" s="434"/>
      <c r="E62" s="20"/>
      <c r="F62" s="435"/>
      <c r="G62" s="462" t="s">
        <v>773</v>
      </c>
      <c r="H62" s="463" t="s">
        <v>383</v>
      </c>
      <c r="I62" s="253"/>
      <c r="J62" s="150"/>
      <c r="K62" s="464" t="str">
        <f>H57</f>
        <v xml:space="preserve">Blue team </v>
      </c>
      <c r="L62" s="382"/>
      <c r="N62" s="129"/>
      <c r="P62" s="129"/>
      <c r="Q62" s="453"/>
      <c r="R62" s="454"/>
      <c r="S62" s="455"/>
    </row>
    <row r="63" spans="2:19" ht="18">
      <c r="B63" s="140"/>
      <c r="C63" s="111" t="str">
        <f>C69</f>
        <v>筱瑩</v>
      </c>
      <c r="D63" s="437" t="s">
        <v>203</v>
      </c>
      <c r="E63" s="20"/>
      <c r="F63" s="253"/>
      <c r="G63" s="462" t="s">
        <v>774</v>
      </c>
      <c r="H63" s="463" t="s">
        <v>385</v>
      </c>
      <c r="I63" s="444"/>
    </row>
    <row r="64" spans="2:19" ht="18">
      <c r="B64" s="460"/>
      <c r="F64" s="152"/>
      <c r="G64" s="462" t="s">
        <v>775</v>
      </c>
      <c r="H64" s="463" t="s">
        <v>509</v>
      </c>
      <c r="I64" s="255"/>
    </row>
    <row r="65" spans="2:12" ht="18">
      <c r="B65" s="140"/>
      <c r="G65" s="462" t="s">
        <v>776</v>
      </c>
      <c r="H65" s="463" t="s">
        <v>510</v>
      </c>
      <c r="I65" s="255"/>
    </row>
    <row r="66" spans="2:12" ht="18">
      <c r="B66" s="465"/>
      <c r="F66" s="152"/>
      <c r="G66" s="462" t="s">
        <v>777</v>
      </c>
      <c r="H66" s="463" t="s">
        <v>512</v>
      </c>
    </row>
    <row r="67" spans="2:12" ht="18">
      <c r="F67" s="152"/>
      <c r="G67" s="462" t="s">
        <v>778</v>
      </c>
      <c r="H67" s="463" t="s">
        <v>514</v>
      </c>
    </row>
    <row r="68" spans="2:12" ht="18">
      <c r="B68" s="280"/>
      <c r="C68" s="248" t="str">
        <f>女乙賽程!R11</f>
        <v xml:space="preserve">Blue team </v>
      </c>
      <c r="D68" s="248" t="s">
        <v>209</v>
      </c>
      <c r="F68" s="454"/>
      <c r="G68" s="455"/>
      <c r="H68" s="460"/>
      <c r="I68" s="460"/>
    </row>
    <row r="69" spans="2:12" ht="20.25">
      <c r="B69" s="280"/>
      <c r="C69" s="248" t="str">
        <f>女乙賽程!Y11</f>
        <v>筱瑩</v>
      </c>
      <c r="D69" s="248" t="s">
        <v>203</v>
      </c>
      <c r="F69" s="454"/>
      <c r="G69" s="455"/>
      <c r="H69" s="460"/>
      <c r="I69" s="460"/>
      <c r="J69" s="466"/>
    </row>
    <row r="70" spans="2:12" ht="20.25">
      <c r="B70" s="280"/>
      <c r="C70" s="248" t="str">
        <f>女乙賽程!R23</f>
        <v>BUTTERFLY S</v>
      </c>
      <c r="D70" s="248" t="s">
        <v>197</v>
      </c>
      <c r="F70" s="454"/>
      <c r="G70" s="455"/>
      <c r="I70" s="460"/>
      <c r="J70" s="466"/>
    </row>
    <row r="71" spans="2:12" ht="20.25">
      <c r="B71" s="280"/>
      <c r="C71" s="248" t="s">
        <v>322</v>
      </c>
      <c r="D71" s="248" t="s">
        <v>191</v>
      </c>
      <c r="G71" s="454"/>
      <c r="H71" s="455"/>
      <c r="I71" s="460"/>
      <c r="J71" s="466"/>
      <c r="K71" s="454"/>
      <c r="L71" s="455"/>
    </row>
    <row r="72" spans="2:12" ht="20.25">
      <c r="B72" s="280"/>
      <c r="C72" s="248" t="str">
        <f>女乙賽程!R31</f>
        <v>Reunion</v>
      </c>
      <c r="D72" s="248" t="s">
        <v>143</v>
      </c>
      <c r="G72" s="454"/>
      <c r="H72" s="455"/>
      <c r="J72" s="466"/>
    </row>
    <row r="73" spans="2:12" ht="18">
      <c r="B73" s="280"/>
      <c r="C73" s="248" t="str">
        <f>女乙賽程!R32</f>
        <v>GLORY</v>
      </c>
      <c r="D73" s="248" t="s">
        <v>185</v>
      </c>
      <c r="G73" s="454"/>
      <c r="H73" s="455"/>
    </row>
    <row r="74" spans="2:12">
      <c r="C74" s="248" t="str">
        <f>女乙賽程!Y31</f>
        <v>麥糖</v>
      </c>
      <c r="D74" s="248" t="s">
        <v>149</v>
      </c>
    </row>
    <row r="75" spans="2:12">
      <c r="C75" s="248" t="str">
        <f>女乙賽程!Y32</f>
        <v>VANICA</v>
      </c>
      <c r="D75" s="248" t="s">
        <v>179</v>
      </c>
    </row>
    <row r="118" spans="2:12">
      <c r="K118" s="467" t="s">
        <v>376</v>
      </c>
      <c r="L118" s="468" t="s">
        <v>383</v>
      </c>
    </row>
    <row r="119" spans="2:12" ht="18">
      <c r="B119" s="465"/>
      <c r="G119" s="453"/>
      <c r="H119" s="429"/>
      <c r="K119" s="467" t="s">
        <v>379</v>
      </c>
      <c r="L119" s="468" t="s">
        <v>385</v>
      </c>
    </row>
    <row r="120" spans="2:12">
      <c r="K120" s="467" t="s">
        <v>382</v>
      </c>
      <c r="L120" s="468" t="s">
        <v>509</v>
      </c>
    </row>
    <row r="121" spans="2:12">
      <c r="K121" s="467" t="s">
        <v>384</v>
      </c>
      <c r="L121" s="468" t="s">
        <v>510</v>
      </c>
    </row>
    <row r="122" spans="2:12">
      <c r="K122" s="467" t="s">
        <v>511</v>
      </c>
      <c r="L122" s="468" t="s">
        <v>512</v>
      </c>
    </row>
    <row r="123" spans="2:12">
      <c r="K123" s="467" t="s">
        <v>513</v>
      </c>
      <c r="L123" s="468" t="s">
        <v>514</v>
      </c>
    </row>
    <row r="124" spans="2:12">
      <c r="K124" s="454"/>
      <c r="L124" s="455"/>
    </row>
  </sheetData>
  <mergeCells count="2">
    <mergeCell ref="L39:L40"/>
    <mergeCell ref="N59:N60"/>
  </mergeCells>
  <phoneticPr fontId="118" type="noConversion"/>
  <printOptions horizontalCentered="1" verticalCentered="1"/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41"/>
  <sheetViews>
    <sheetView topLeftCell="B1" zoomScale="70" zoomScaleNormal="70" workbookViewId="0">
      <selection activeCell="B1" sqref="B1"/>
    </sheetView>
  </sheetViews>
  <sheetFormatPr defaultRowHeight="17.25"/>
  <cols>
    <col min="1" max="1" width="9.109375" style="160" hidden="1" customWidth="1"/>
    <col min="2" max="2" width="8.109375" style="160" customWidth="1"/>
    <col min="3" max="3" width="6.6640625" style="160" customWidth="1"/>
    <col min="4" max="4" width="8.6640625" style="160" customWidth="1"/>
    <col min="5" max="5" width="13.33203125" style="160" customWidth="1"/>
    <col min="6" max="6" width="4.33203125" style="160" customWidth="1"/>
    <col min="7" max="7" width="13.5546875" style="160" customWidth="1"/>
    <col min="8" max="8" width="19.6640625" style="160" customWidth="1"/>
    <col min="9" max="9" width="2.6640625" style="160" customWidth="1"/>
    <col min="10" max="10" width="17.6640625" style="160" customWidth="1"/>
    <col min="11" max="14" width="7.6640625" style="161" customWidth="1"/>
    <col min="15" max="15" width="13.5546875" style="160" customWidth="1"/>
    <col min="16" max="16" width="7.6640625" style="160" customWidth="1"/>
    <col min="17" max="17" width="7.21875" style="160" customWidth="1"/>
    <col min="18" max="18" width="18.44140625" style="160" customWidth="1"/>
    <col min="19" max="21" width="7.6640625" style="160" customWidth="1"/>
    <col min="22" max="22" width="13.109375" style="160" customWidth="1"/>
    <col min="23" max="23" width="7.6640625" style="160" customWidth="1"/>
    <col min="24" max="24" width="7.21875" style="160" customWidth="1"/>
    <col min="25" max="25" width="10.6640625" style="160" customWidth="1"/>
    <col min="26" max="1025" width="7.6640625" style="160" customWidth="1"/>
  </cols>
  <sheetData>
    <row r="1" spans="1:30" ht="18">
      <c r="B1" s="469"/>
      <c r="C1" s="383" t="s">
        <v>779</v>
      </c>
      <c r="D1" s="167"/>
      <c r="E1" s="302"/>
      <c r="F1" s="303"/>
      <c r="G1" s="167"/>
      <c r="H1" s="385"/>
      <c r="I1" s="303"/>
      <c r="J1" s="303"/>
      <c r="K1" s="167"/>
      <c r="L1" s="167"/>
      <c r="M1" s="167"/>
      <c r="N1" s="167"/>
    </row>
    <row r="2" spans="1:30" ht="18">
      <c r="B2" s="470"/>
      <c r="C2" s="386" t="s">
        <v>780</v>
      </c>
      <c r="D2" s="167"/>
      <c r="E2" s="302"/>
      <c r="F2" s="303"/>
      <c r="G2" s="167"/>
      <c r="H2" s="385"/>
      <c r="I2" s="303"/>
      <c r="J2" s="303"/>
      <c r="K2" s="167"/>
      <c r="L2" s="167"/>
      <c r="M2" s="167"/>
      <c r="N2" s="167"/>
    </row>
    <row r="3" spans="1:30">
      <c r="C3" s="167"/>
      <c r="D3" s="167"/>
      <c r="E3" s="167"/>
      <c r="F3" s="167"/>
      <c r="G3" s="305"/>
      <c r="H3" s="659" t="s">
        <v>399</v>
      </c>
      <c r="I3" s="659"/>
      <c r="J3" s="659"/>
      <c r="K3" s="387" t="s">
        <v>388</v>
      </c>
      <c r="L3" s="387" t="s">
        <v>389</v>
      </c>
      <c r="M3" s="387" t="s">
        <v>389</v>
      </c>
      <c r="N3" s="387" t="s">
        <v>388</v>
      </c>
    </row>
    <row r="4" spans="1:30">
      <c r="A4" s="173" t="s">
        <v>390</v>
      </c>
      <c r="B4" s="174"/>
      <c r="C4" s="306" t="s">
        <v>391</v>
      </c>
      <c r="D4" s="307" t="s">
        <v>392</v>
      </c>
      <c r="E4" s="306"/>
      <c r="F4" s="306" t="s">
        <v>393</v>
      </c>
      <c r="G4" s="306"/>
      <c r="H4" s="471" t="s">
        <v>394</v>
      </c>
      <c r="I4" s="472"/>
      <c r="J4" s="471" t="s">
        <v>395</v>
      </c>
      <c r="K4" s="306"/>
      <c r="L4" s="306"/>
      <c r="M4" s="306"/>
      <c r="N4" s="306"/>
    </row>
    <row r="5" spans="1:30" ht="16.5" customHeight="1">
      <c r="A5" s="181" t="s">
        <v>396</v>
      </c>
      <c r="B5" s="473"/>
      <c r="C5" s="308" t="s">
        <v>397</v>
      </c>
      <c r="D5" s="309" t="s">
        <v>398</v>
      </c>
      <c r="E5" s="308"/>
      <c r="F5" s="308" t="s">
        <v>399</v>
      </c>
      <c r="G5" s="474"/>
      <c r="H5" s="306" t="s">
        <v>51</v>
      </c>
      <c r="I5" s="306"/>
      <c r="J5" s="306" t="s">
        <v>51</v>
      </c>
      <c r="K5" s="388"/>
      <c r="L5" s="306"/>
      <c r="M5" s="306"/>
      <c r="N5" s="306"/>
    </row>
    <row r="6" spans="1:30" hidden="1">
      <c r="A6" s="189" t="e">
        <f>IF(#REF!&lt;&gt;#REF!,#REF!,"")</f>
        <v>#REF!</v>
      </c>
      <c r="B6" s="475">
        <v>1</v>
      </c>
      <c r="C6" s="476" t="s">
        <v>404</v>
      </c>
      <c r="D6" s="477">
        <v>1</v>
      </c>
      <c r="E6" s="332" t="s">
        <v>119</v>
      </c>
      <c r="F6" s="318" t="s">
        <v>405</v>
      </c>
      <c r="G6" s="319" t="s">
        <v>323</v>
      </c>
      <c r="H6" s="180" t="str">
        <f>VLOOKUP(E6,WD!$C$6:$K$77,3,0)</f>
        <v xml:space="preserve">Blue team </v>
      </c>
      <c r="I6" s="196" t="s">
        <v>405</v>
      </c>
      <c r="J6" s="180" t="str">
        <f>VLOOKUP(G6,WD!$C$6:$K$77,3,0)</f>
        <v>A4</v>
      </c>
      <c r="K6" s="197"/>
      <c r="L6" s="180"/>
      <c r="M6" s="180"/>
      <c r="N6" s="180"/>
      <c r="P6" s="188" t="s">
        <v>401</v>
      </c>
      <c r="Q6" s="188" t="s">
        <v>403</v>
      </c>
      <c r="R6" s="188" t="s">
        <v>61</v>
      </c>
      <c r="S6" s="198" t="s">
        <v>444</v>
      </c>
      <c r="U6" s="187" t="s">
        <v>400</v>
      </c>
      <c r="V6" s="188" t="s">
        <v>50</v>
      </c>
      <c r="W6" s="188" t="s">
        <v>401</v>
      </c>
      <c r="X6" s="188" t="s">
        <v>403</v>
      </c>
      <c r="Y6" s="188" t="s">
        <v>61</v>
      </c>
    </row>
    <row r="7" spans="1:30">
      <c r="A7" s="200" t="e">
        <f>IF(#REF!&lt;&gt;#REF!,#REF!,"")</f>
        <v>#REF!</v>
      </c>
      <c r="B7" s="478">
        <v>1</v>
      </c>
      <c r="C7" s="476" t="s">
        <v>404</v>
      </c>
      <c r="D7" s="477">
        <v>2</v>
      </c>
      <c r="E7" s="332" t="s">
        <v>209</v>
      </c>
      <c r="F7" s="318" t="s">
        <v>405</v>
      </c>
      <c r="G7" s="319" t="s">
        <v>215</v>
      </c>
      <c r="H7" s="180" t="str">
        <f>VLOOKUP(E7,WD!$C$6:$K$77,3,0)</f>
        <v>荃青—黑寶</v>
      </c>
      <c r="I7" s="196" t="s">
        <v>405</v>
      </c>
      <c r="J7" s="180" t="str">
        <f>VLOOKUP(G7,WD!$C$6:$K$77,3,0)</f>
        <v>panda</v>
      </c>
      <c r="K7" s="197">
        <v>2</v>
      </c>
      <c r="L7" s="180">
        <v>42</v>
      </c>
      <c r="M7" s="180">
        <v>0</v>
      </c>
      <c r="N7" s="180">
        <v>0</v>
      </c>
      <c r="O7" s="198" t="s">
        <v>781</v>
      </c>
      <c r="P7" s="188" t="s">
        <v>404</v>
      </c>
      <c r="Q7" s="187" t="s">
        <v>400</v>
      </c>
      <c r="R7" s="188" t="s">
        <v>50</v>
      </c>
      <c r="S7" s="188" t="s">
        <v>401</v>
      </c>
      <c r="T7" s="188" t="s">
        <v>402</v>
      </c>
      <c r="U7" s="188" t="s">
        <v>403</v>
      </c>
      <c r="V7" s="188" t="s">
        <v>61</v>
      </c>
      <c r="W7" s="198" t="s">
        <v>444</v>
      </c>
      <c r="X7" s="187" t="s">
        <v>400</v>
      </c>
      <c r="Y7" s="188" t="s">
        <v>50</v>
      </c>
      <c r="Z7" s="188" t="s">
        <v>401</v>
      </c>
      <c r="AA7" s="188" t="s">
        <v>402</v>
      </c>
      <c r="AB7" s="188" t="s">
        <v>403</v>
      </c>
      <c r="AC7" s="188" t="s">
        <v>61</v>
      </c>
      <c r="AD7" s="164"/>
    </row>
    <row r="8" spans="1:30">
      <c r="A8" s="200" t="e">
        <f>IF(#REF!&lt;&gt;#REF!,#REF!,"")</f>
        <v>#REF!</v>
      </c>
      <c r="B8" s="475">
        <v>2</v>
      </c>
      <c r="C8" s="476" t="s">
        <v>404</v>
      </c>
      <c r="D8" s="477">
        <v>3</v>
      </c>
      <c r="E8" s="332" t="s">
        <v>119</v>
      </c>
      <c r="F8" s="318" t="s">
        <v>405</v>
      </c>
      <c r="G8" s="319" t="s">
        <v>215</v>
      </c>
      <c r="H8" s="180" t="str">
        <f>VLOOKUP(E8,WD!$C$6:$K$77,3,0)</f>
        <v xml:space="preserve">Blue team </v>
      </c>
      <c r="I8" s="196" t="s">
        <v>405</v>
      </c>
      <c r="J8" s="180" t="str">
        <f>VLOOKUP(G8,WD!$C$6:$K$77,3,0)</f>
        <v>panda</v>
      </c>
      <c r="K8" s="197">
        <v>2</v>
      </c>
      <c r="L8" s="180">
        <v>42</v>
      </c>
      <c r="M8" s="180">
        <v>0</v>
      </c>
      <c r="N8" s="180">
        <v>0</v>
      </c>
      <c r="O8" s="198" t="s">
        <v>781</v>
      </c>
      <c r="P8" s="164"/>
      <c r="Q8" s="179">
        <v>1</v>
      </c>
      <c r="R8" s="199" t="str">
        <f>H7</f>
        <v>荃青—黑寶</v>
      </c>
      <c r="S8" s="199">
        <v>1</v>
      </c>
      <c r="T8" s="199">
        <v>0</v>
      </c>
      <c r="U8" s="199">
        <v>1</v>
      </c>
      <c r="V8" s="199">
        <f>S8*3+T8*1+U8*0</f>
        <v>3</v>
      </c>
      <c r="X8" s="179">
        <v>1</v>
      </c>
      <c r="Y8" s="199" t="s">
        <v>654</v>
      </c>
      <c r="Z8" s="199">
        <v>1</v>
      </c>
      <c r="AA8" s="199">
        <v>1</v>
      </c>
      <c r="AB8" s="199">
        <v>0</v>
      </c>
      <c r="AC8" s="199">
        <f>Z8*3+AA8*1+AB8*0</f>
        <v>4</v>
      </c>
    </row>
    <row r="9" spans="1:30" hidden="1">
      <c r="A9" s="200" t="e">
        <f>IF(#REF!&lt;&gt;#REF!,#REF!,"")</f>
        <v>#REF!</v>
      </c>
      <c r="B9" s="478">
        <v>4</v>
      </c>
      <c r="C9" s="476" t="s">
        <v>404</v>
      </c>
      <c r="D9" s="477">
        <v>4</v>
      </c>
      <c r="E9" s="332" t="s">
        <v>209</v>
      </c>
      <c r="F9" s="318" t="s">
        <v>405</v>
      </c>
      <c r="G9" s="319" t="s">
        <v>323</v>
      </c>
      <c r="H9" s="180" t="str">
        <f>VLOOKUP(E9,WD!$C$6:$K$77,3,0)</f>
        <v>荃青—黑寶</v>
      </c>
      <c r="I9" s="196" t="s">
        <v>405</v>
      </c>
      <c r="J9" s="180" t="str">
        <f>VLOOKUP(G9,WD!$C$6:$K$77,3,0)</f>
        <v>A4</v>
      </c>
      <c r="K9" s="197"/>
      <c r="L9" s="180"/>
      <c r="M9" s="180"/>
      <c r="N9" s="180"/>
      <c r="P9" s="164"/>
      <c r="Q9" s="179">
        <v>2</v>
      </c>
      <c r="R9" s="199"/>
      <c r="S9" s="199"/>
      <c r="T9" s="199"/>
      <c r="U9" s="199"/>
      <c r="V9" s="199">
        <f>S9*3+U9*0</f>
        <v>0</v>
      </c>
      <c r="X9" s="179">
        <v>2</v>
      </c>
      <c r="Y9" s="199"/>
      <c r="Z9" s="199"/>
      <c r="AA9" s="199"/>
      <c r="AB9" s="199"/>
      <c r="AC9" s="199">
        <f>Z9*3+AB9*0</f>
        <v>0</v>
      </c>
    </row>
    <row r="10" spans="1:30" hidden="1">
      <c r="A10" s="200" t="e">
        <f>IF(#REF!&lt;&gt;#REF!,#REF!,"")</f>
        <v>#REF!</v>
      </c>
      <c r="B10" s="475">
        <v>5</v>
      </c>
      <c r="C10" s="476" t="s">
        <v>404</v>
      </c>
      <c r="D10" s="477">
        <v>5</v>
      </c>
      <c r="E10" s="332" t="s">
        <v>215</v>
      </c>
      <c r="F10" s="318" t="s">
        <v>405</v>
      </c>
      <c r="G10" s="319" t="s">
        <v>323</v>
      </c>
      <c r="H10" s="180" t="str">
        <f>VLOOKUP(E10,WD!$C$6:$K$77,3,0)</f>
        <v>panda</v>
      </c>
      <c r="I10" s="196" t="s">
        <v>405</v>
      </c>
      <c r="J10" s="180" t="str">
        <f>VLOOKUP(G10,WD!$C$6:$K$77,3,0)</f>
        <v>A4</v>
      </c>
      <c r="K10" s="197"/>
      <c r="L10" s="180"/>
      <c r="M10" s="180"/>
      <c r="N10" s="180"/>
      <c r="P10" s="164"/>
      <c r="Q10" s="179">
        <v>3</v>
      </c>
      <c r="R10" s="199"/>
      <c r="S10" s="199"/>
      <c r="T10" s="199"/>
      <c r="U10" s="199"/>
      <c r="V10" s="199">
        <f>S10*3+U10*0</f>
        <v>0</v>
      </c>
      <c r="X10" s="479">
        <v>3</v>
      </c>
      <c r="Y10" s="480"/>
      <c r="Z10" s="480"/>
      <c r="AA10" s="480"/>
      <c r="AB10" s="480"/>
      <c r="AC10" s="480">
        <f>Z10*3+AB10*0</f>
        <v>0</v>
      </c>
    </row>
    <row r="11" spans="1:30">
      <c r="A11" s="200"/>
      <c r="B11" s="478">
        <v>3</v>
      </c>
      <c r="C11" s="481" t="s">
        <v>404</v>
      </c>
      <c r="D11" s="482">
        <v>6</v>
      </c>
      <c r="E11" s="335" t="s">
        <v>119</v>
      </c>
      <c r="F11" s="325" t="s">
        <v>405</v>
      </c>
      <c r="G11" s="325" t="s">
        <v>209</v>
      </c>
      <c r="H11" s="180" t="str">
        <f>VLOOKUP(E11,WD!$C$6:$K$77,3,0)</f>
        <v xml:space="preserve">Blue team </v>
      </c>
      <c r="I11" s="196" t="s">
        <v>405</v>
      </c>
      <c r="J11" s="180" t="str">
        <f>VLOOKUP(G11,WD!$C$6:$K$77,3,0)</f>
        <v>荃青—黑寶</v>
      </c>
      <c r="K11" s="197">
        <v>0</v>
      </c>
      <c r="L11" s="180">
        <f>16+8</f>
        <v>24</v>
      </c>
      <c r="M11" s="180">
        <f>21+21</f>
        <v>42</v>
      </c>
      <c r="N11" s="180">
        <v>2</v>
      </c>
      <c r="O11" s="198" t="s">
        <v>782</v>
      </c>
      <c r="P11" s="164"/>
      <c r="Q11" s="179">
        <v>2</v>
      </c>
      <c r="R11" s="199" t="str">
        <f>H8</f>
        <v xml:space="preserve">Blue team </v>
      </c>
      <c r="S11" s="199">
        <v>0</v>
      </c>
      <c r="T11" s="199">
        <v>0</v>
      </c>
      <c r="U11" s="199">
        <v>1</v>
      </c>
      <c r="V11" s="199">
        <f>S11*3+U11*0</f>
        <v>0</v>
      </c>
      <c r="X11" s="179">
        <v>2</v>
      </c>
      <c r="Y11" s="483" t="s">
        <v>600</v>
      </c>
      <c r="Z11" s="199">
        <v>0</v>
      </c>
      <c r="AA11" s="199">
        <v>2</v>
      </c>
      <c r="AB11" s="199">
        <v>0</v>
      </c>
      <c r="AC11" s="199">
        <f>Z11*3+AA11*1+AB11*0</f>
        <v>2</v>
      </c>
    </row>
    <row r="12" spans="1:30" hidden="1">
      <c r="A12" s="200"/>
      <c r="B12" s="475">
        <v>4</v>
      </c>
      <c r="C12" s="476" t="s">
        <v>444</v>
      </c>
      <c r="D12" s="484">
        <v>1</v>
      </c>
      <c r="E12" s="313" t="s">
        <v>125</v>
      </c>
      <c r="F12" s="313" t="s">
        <v>405</v>
      </c>
      <c r="G12" s="313" t="s">
        <v>325</v>
      </c>
      <c r="H12" s="180" t="str">
        <f>VLOOKUP(E12,WD!$C$6:$K$77,3,0)</f>
        <v>筱瑩</v>
      </c>
      <c r="I12" s="196" t="s">
        <v>405</v>
      </c>
      <c r="J12" s="180" t="str">
        <f>VLOOKUP(G12,WD!$C$6:$K$77,3,0)</f>
        <v>B4</v>
      </c>
      <c r="K12" s="197"/>
      <c r="L12" s="180"/>
      <c r="M12" s="180"/>
      <c r="N12" s="180"/>
      <c r="P12" s="164"/>
      <c r="Q12" s="479">
        <v>3</v>
      </c>
      <c r="R12" s="485"/>
      <c r="S12" s="480"/>
      <c r="T12" s="480"/>
      <c r="U12" s="480"/>
      <c r="V12" s="480">
        <f>S12*3+U12*0</f>
        <v>0</v>
      </c>
      <c r="X12" s="179">
        <v>3</v>
      </c>
      <c r="Y12" s="486"/>
      <c r="Z12" s="199"/>
      <c r="AA12" s="199"/>
      <c r="AB12" s="199"/>
      <c r="AC12" s="199">
        <f>Z12*3+AA12*1+AB12*0</f>
        <v>0</v>
      </c>
    </row>
    <row r="13" spans="1:30">
      <c r="A13" s="200"/>
      <c r="B13" s="478">
        <v>5</v>
      </c>
      <c r="C13" s="487" t="s">
        <v>444</v>
      </c>
      <c r="D13" s="488">
        <v>2</v>
      </c>
      <c r="E13" s="318" t="s">
        <v>203</v>
      </c>
      <c r="F13" s="318" t="s">
        <v>405</v>
      </c>
      <c r="G13" s="319" t="s">
        <v>221</v>
      </c>
      <c r="H13" s="180" t="str">
        <f>VLOOKUP(E13,WD!$C$6:$K$77,3,0)</f>
        <v>SYNERGY</v>
      </c>
      <c r="I13" s="196" t="s">
        <v>405</v>
      </c>
      <c r="J13" s="180" t="str">
        <f>VLOOKUP(G13,WD!$C$6:$K$77,3,0)</f>
        <v>Ching Chung</v>
      </c>
      <c r="K13" s="197">
        <v>2</v>
      </c>
      <c r="L13" s="180">
        <f>21+23</f>
        <v>44</v>
      </c>
      <c r="M13" s="180">
        <f>14+21</f>
        <v>35</v>
      </c>
      <c r="N13" s="180">
        <v>0</v>
      </c>
      <c r="O13" s="198" t="s">
        <v>783</v>
      </c>
      <c r="P13" s="20"/>
      <c r="Q13" s="321"/>
      <c r="R13" s="322" t="str">
        <f>J7</f>
        <v>panda</v>
      </c>
      <c r="S13" s="322"/>
      <c r="T13" s="322"/>
      <c r="U13" s="322"/>
      <c r="V13" s="322">
        <f>S13*3+T13*1+U13*0</f>
        <v>0</v>
      </c>
      <c r="W13" s="20"/>
      <c r="X13" s="179">
        <v>3</v>
      </c>
      <c r="Y13" s="199" t="s">
        <v>675</v>
      </c>
      <c r="Z13" s="199">
        <v>0</v>
      </c>
      <c r="AA13" s="199">
        <v>1</v>
      </c>
      <c r="AB13" s="199">
        <v>1</v>
      </c>
      <c r="AC13" s="199">
        <f>Z13*3+AA13*1+AB13*0</f>
        <v>1</v>
      </c>
    </row>
    <row r="14" spans="1:30">
      <c r="A14" s="200"/>
      <c r="B14" s="475">
        <v>6</v>
      </c>
      <c r="C14" s="487" t="s">
        <v>444</v>
      </c>
      <c r="D14" s="488">
        <v>3</v>
      </c>
      <c r="E14" s="318" t="s">
        <v>125</v>
      </c>
      <c r="F14" s="318" t="s">
        <v>405</v>
      </c>
      <c r="G14" s="319" t="s">
        <v>221</v>
      </c>
      <c r="H14" s="180" t="str">
        <f>VLOOKUP(E14,WD!$C$6:$K$77,3,0)</f>
        <v>筱瑩</v>
      </c>
      <c r="I14" s="196" t="s">
        <v>405</v>
      </c>
      <c r="J14" s="180" t="str">
        <f>VLOOKUP(G14,WD!$C$6:$K$77,3,0)</f>
        <v>Ching Chung</v>
      </c>
      <c r="K14" s="197">
        <v>1</v>
      </c>
      <c r="L14" s="180">
        <f>21+17</f>
        <v>38</v>
      </c>
      <c r="M14" s="180">
        <f>11+21</f>
        <v>32</v>
      </c>
      <c r="N14" s="180">
        <v>1</v>
      </c>
      <c r="O14" s="198" t="s">
        <v>784</v>
      </c>
      <c r="P14" s="20"/>
      <c r="Q14" s="413"/>
      <c r="R14" s="413"/>
      <c r="S14" s="413"/>
      <c r="T14" s="413"/>
      <c r="U14" s="413"/>
      <c r="V14" s="413"/>
      <c r="W14" s="20"/>
      <c r="X14" s="413"/>
      <c r="Y14" s="413"/>
      <c r="Z14" s="413"/>
      <c r="AA14" s="413"/>
      <c r="AB14" s="413"/>
      <c r="AC14" s="413"/>
    </row>
    <row r="15" spans="1:30" hidden="1">
      <c r="A15" s="200"/>
      <c r="B15" s="478">
        <v>7</v>
      </c>
      <c r="C15" s="487" t="s">
        <v>444</v>
      </c>
      <c r="D15" s="488">
        <v>4</v>
      </c>
      <c r="E15" s="318" t="s">
        <v>203</v>
      </c>
      <c r="F15" s="318" t="s">
        <v>405</v>
      </c>
      <c r="G15" s="319" t="s">
        <v>325</v>
      </c>
      <c r="H15" s="180" t="str">
        <f>VLOOKUP(E15,WD!$C$6:$K$77,3,0)</f>
        <v>SYNERGY</v>
      </c>
      <c r="I15" s="196" t="s">
        <v>405</v>
      </c>
      <c r="J15" s="180" t="str">
        <f>VLOOKUP(G15,WD!$C$6:$K$77,3,0)</f>
        <v>B4</v>
      </c>
      <c r="K15" s="197"/>
      <c r="L15" s="180"/>
      <c r="M15" s="180"/>
      <c r="N15" s="18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30" hidden="1">
      <c r="A16" s="200"/>
      <c r="B16" s="475">
        <v>8</v>
      </c>
      <c r="C16" s="487" t="s">
        <v>444</v>
      </c>
      <c r="D16" s="488">
        <v>5</v>
      </c>
      <c r="E16" s="318" t="s">
        <v>221</v>
      </c>
      <c r="F16" s="318" t="s">
        <v>405</v>
      </c>
      <c r="G16" s="319" t="s">
        <v>325</v>
      </c>
      <c r="H16" s="180" t="str">
        <f>VLOOKUP(E16,WD!$C$6:$K$77,3,0)</f>
        <v>Ching Chung</v>
      </c>
      <c r="I16" s="196" t="s">
        <v>405</v>
      </c>
      <c r="J16" s="180" t="str">
        <f>VLOOKUP(G16,WD!$C$6:$K$77,3,0)</f>
        <v>B4</v>
      </c>
      <c r="K16" s="197"/>
      <c r="L16" s="180"/>
      <c r="M16" s="180"/>
      <c r="N16" s="18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>
      <c r="A17" s="200"/>
      <c r="B17" s="475">
        <v>9</v>
      </c>
      <c r="C17" s="481" t="s">
        <v>444</v>
      </c>
      <c r="D17" s="482">
        <v>6</v>
      </c>
      <c r="E17" s="325" t="s">
        <v>125</v>
      </c>
      <c r="F17" s="325" t="s">
        <v>405</v>
      </c>
      <c r="G17" s="325" t="s">
        <v>203</v>
      </c>
      <c r="H17" s="180" t="str">
        <f>VLOOKUP(E17,WD!$C$6:$K$77,3,0)</f>
        <v>筱瑩</v>
      </c>
      <c r="I17" s="196" t="s">
        <v>405</v>
      </c>
      <c r="J17" s="180" t="str">
        <f>VLOOKUP(G17,WD!$C$6:$K$77,3,0)</f>
        <v>SYNERGY</v>
      </c>
      <c r="K17" s="197">
        <v>1</v>
      </c>
      <c r="L17" s="180">
        <f>15+21</f>
        <v>36</v>
      </c>
      <c r="M17" s="180">
        <f>21+11</f>
        <v>32</v>
      </c>
      <c r="N17" s="180">
        <v>1</v>
      </c>
      <c r="O17" s="198" t="s">
        <v>785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idden="1">
      <c r="A18" s="200"/>
      <c r="B18" s="475">
        <v>10</v>
      </c>
      <c r="C18" s="489" t="s">
        <v>445</v>
      </c>
      <c r="D18" s="477">
        <v>1</v>
      </c>
      <c r="E18" s="310" t="s">
        <v>131</v>
      </c>
      <c r="F18" s="313" t="s">
        <v>405</v>
      </c>
      <c r="G18" s="313" t="s">
        <v>326</v>
      </c>
      <c r="H18" s="180" t="str">
        <f>VLOOKUP(E18,WD!$C$6:$K$77,3,0)</f>
        <v>The Passionate Miami</v>
      </c>
      <c r="I18" s="196" t="s">
        <v>405</v>
      </c>
      <c r="J18" s="180" t="str">
        <f>VLOOKUP(G18,WD!$C$6:$K$77,3,0)</f>
        <v>C4</v>
      </c>
      <c r="K18" s="197"/>
      <c r="L18" s="180"/>
      <c r="M18" s="180"/>
      <c r="N18" s="180"/>
      <c r="P18" s="164"/>
    </row>
    <row r="19" spans="1:29">
      <c r="A19" s="200" t="e">
        <f>IF(#REF!&lt;&gt;#REF!,#REF!,"")</f>
        <v>#REF!</v>
      </c>
      <c r="B19" s="475">
        <v>11</v>
      </c>
      <c r="C19" s="487" t="s">
        <v>445</v>
      </c>
      <c r="D19" s="477">
        <v>2</v>
      </c>
      <c r="E19" s="332" t="s">
        <v>197</v>
      </c>
      <c r="F19" s="318" t="s">
        <v>405</v>
      </c>
      <c r="G19" s="319" t="s">
        <v>227</v>
      </c>
      <c r="H19" s="180" t="str">
        <f>VLOOKUP(E19,WD!$C$6:$K$77,3,0)</f>
        <v>CYMCASS</v>
      </c>
      <c r="I19" s="196" t="s">
        <v>405</v>
      </c>
      <c r="J19" s="180" t="str">
        <f>VLOOKUP(G19,WD!$C$6:$K$77,3,0)</f>
        <v>BUTTERFLY S.</v>
      </c>
      <c r="K19" s="197">
        <v>0</v>
      </c>
      <c r="L19" s="180">
        <f>15+14</f>
        <v>29</v>
      </c>
      <c r="M19" s="180">
        <f>21+21</f>
        <v>42</v>
      </c>
      <c r="N19" s="180">
        <v>2</v>
      </c>
      <c r="O19" s="198" t="s">
        <v>426</v>
      </c>
      <c r="P19" s="164"/>
      <c r="Q19" s="187" t="s">
        <v>400</v>
      </c>
      <c r="R19" s="188" t="s">
        <v>50</v>
      </c>
      <c r="S19" s="188" t="s">
        <v>401</v>
      </c>
      <c r="T19" s="188" t="s">
        <v>402</v>
      </c>
      <c r="U19" s="188" t="s">
        <v>403</v>
      </c>
      <c r="V19" s="188" t="s">
        <v>61</v>
      </c>
      <c r="X19" s="187" t="s">
        <v>400</v>
      </c>
      <c r="Y19" s="188" t="s">
        <v>50</v>
      </c>
      <c r="Z19" s="188" t="s">
        <v>401</v>
      </c>
      <c r="AA19" s="188" t="s">
        <v>402</v>
      </c>
      <c r="AB19" s="188" t="s">
        <v>403</v>
      </c>
      <c r="AC19" s="188" t="s">
        <v>61</v>
      </c>
    </row>
    <row r="20" spans="1:29">
      <c r="A20" s="200" t="e">
        <f>IF(#REF!&lt;&gt;#REF!,#REF!,"")</f>
        <v>#REF!</v>
      </c>
      <c r="B20" s="475">
        <v>12</v>
      </c>
      <c r="C20" s="487" t="s">
        <v>445</v>
      </c>
      <c r="D20" s="477">
        <v>3</v>
      </c>
      <c r="E20" s="332" t="s">
        <v>131</v>
      </c>
      <c r="F20" s="318" t="s">
        <v>405</v>
      </c>
      <c r="G20" s="319" t="s">
        <v>227</v>
      </c>
      <c r="H20" s="180" t="str">
        <f>VLOOKUP(E20,WD!$C$6:$K$77,3,0)</f>
        <v>The Passionate Miami</v>
      </c>
      <c r="I20" s="196" t="s">
        <v>405</v>
      </c>
      <c r="J20" s="180" t="str">
        <f>VLOOKUP(G20,WD!$C$6:$K$77,3,0)</f>
        <v>BUTTERFLY S.</v>
      </c>
      <c r="K20" s="197">
        <v>2</v>
      </c>
      <c r="L20" s="180">
        <f>21+21</f>
        <v>42</v>
      </c>
      <c r="M20" s="180">
        <f>14+9</f>
        <v>23</v>
      </c>
      <c r="N20" s="180">
        <v>0</v>
      </c>
      <c r="O20" s="198" t="s">
        <v>786</v>
      </c>
      <c r="P20" s="188" t="s">
        <v>445</v>
      </c>
      <c r="Q20" s="179">
        <v>1</v>
      </c>
      <c r="R20" s="199" t="s">
        <v>605</v>
      </c>
      <c r="S20" s="199">
        <v>1</v>
      </c>
      <c r="T20" s="199">
        <v>1</v>
      </c>
      <c r="U20" s="199">
        <v>0</v>
      </c>
      <c r="V20" s="199">
        <f>S20*3+T20*1+U20*0</f>
        <v>4</v>
      </c>
      <c r="W20" s="198" t="s">
        <v>446</v>
      </c>
      <c r="X20" s="179">
        <v>1</v>
      </c>
      <c r="Y20" s="199" t="s">
        <v>661</v>
      </c>
      <c r="Z20" s="199"/>
      <c r="AA20" s="199"/>
      <c r="AB20" s="199"/>
      <c r="AC20" s="199">
        <f>Z20*3+AA20*1+AB20*0</f>
        <v>0</v>
      </c>
    </row>
    <row r="21" spans="1:29" hidden="1">
      <c r="A21" s="200" t="e">
        <f>IF(#REF!&lt;&gt;#REF!,#REF!,"")</f>
        <v>#REF!</v>
      </c>
      <c r="B21" s="475">
        <v>13</v>
      </c>
      <c r="C21" s="487" t="s">
        <v>445</v>
      </c>
      <c r="D21" s="477">
        <v>4</v>
      </c>
      <c r="E21" s="332" t="s">
        <v>197</v>
      </c>
      <c r="F21" s="318" t="s">
        <v>405</v>
      </c>
      <c r="G21" s="319" t="s">
        <v>326</v>
      </c>
      <c r="H21" s="180" t="str">
        <f>VLOOKUP(E21,WD!$C$6:$K$77,3,0)</f>
        <v>CYMCASS</v>
      </c>
      <c r="I21" s="196" t="s">
        <v>405</v>
      </c>
      <c r="J21" s="180" t="str">
        <f>VLOOKUP(G21,WD!$C$6:$K$77,3,0)</f>
        <v>C4</v>
      </c>
      <c r="K21" s="197"/>
      <c r="L21" s="180"/>
      <c r="M21" s="180"/>
      <c r="N21" s="180"/>
      <c r="P21" s="164"/>
      <c r="Q21" s="179">
        <v>2</v>
      </c>
      <c r="R21" s="199"/>
      <c r="S21" s="199"/>
      <c r="T21" s="199"/>
      <c r="U21" s="199"/>
      <c r="V21" s="199">
        <f>S21*3+U21*0</f>
        <v>0</v>
      </c>
      <c r="X21" s="179">
        <v>2</v>
      </c>
      <c r="Y21" s="199"/>
      <c r="Z21" s="199"/>
      <c r="AA21" s="199"/>
      <c r="AB21" s="199"/>
      <c r="AC21" s="199">
        <f>Z21*3+AB21*0</f>
        <v>0</v>
      </c>
    </row>
    <row r="22" spans="1:29" hidden="1">
      <c r="A22" s="200" t="e">
        <f>IF(#REF!&lt;&gt;#REF!,#REF!,"")</f>
        <v>#REF!</v>
      </c>
      <c r="B22" s="475">
        <v>14</v>
      </c>
      <c r="C22" s="487" t="s">
        <v>445</v>
      </c>
      <c r="D22" s="477">
        <v>5</v>
      </c>
      <c r="E22" s="332" t="s">
        <v>227</v>
      </c>
      <c r="F22" s="318" t="s">
        <v>405</v>
      </c>
      <c r="G22" s="319" t="s">
        <v>326</v>
      </c>
      <c r="H22" s="180" t="str">
        <f>VLOOKUP(E22,WD!$C$6:$K$77,3,0)</f>
        <v>BUTTERFLY S.</v>
      </c>
      <c r="I22" s="196" t="s">
        <v>405</v>
      </c>
      <c r="J22" s="180" t="str">
        <f>VLOOKUP(G22,WD!$C$6:$K$77,3,0)</f>
        <v>C4</v>
      </c>
      <c r="K22" s="197"/>
      <c r="L22" s="180"/>
      <c r="M22" s="180"/>
      <c r="N22" s="180"/>
      <c r="P22" s="164"/>
      <c r="Q22" s="179">
        <v>3</v>
      </c>
      <c r="R22" s="199"/>
      <c r="S22" s="199"/>
      <c r="T22" s="199"/>
      <c r="U22" s="199"/>
      <c r="V22" s="199">
        <f>S22*3+U22*0</f>
        <v>0</v>
      </c>
      <c r="X22" s="179">
        <v>3</v>
      </c>
      <c r="Y22" s="199"/>
      <c r="Z22" s="199"/>
      <c r="AA22" s="199"/>
      <c r="AB22" s="199"/>
      <c r="AC22" s="199">
        <f>Z22*3+AB22*0</f>
        <v>0</v>
      </c>
    </row>
    <row r="23" spans="1:29">
      <c r="A23" s="200" t="e">
        <f>IF(#REF!&lt;&gt;#REF!,#REF!,"")</f>
        <v>#REF!</v>
      </c>
      <c r="B23" s="475">
        <v>15</v>
      </c>
      <c r="C23" s="481" t="s">
        <v>445</v>
      </c>
      <c r="D23" s="482">
        <v>6</v>
      </c>
      <c r="E23" s="335" t="s">
        <v>131</v>
      </c>
      <c r="F23" s="325" t="s">
        <v>405</v>
      </c>
      <c r="G23" s="325" t="s">
        <v>197</v>
      </c>
      <c r="H23" s="180" t="str">
        <f>VLOOKUP(E23,WD!$C$6:$K$77,3,0)</f>
        <v>The Passionate Miami</v>
      </c>
      <c r="I23" s="196" t="s">
        <v>405</v>
      </c>
      <c r="J23" s="180" t="str">
        <f>VLOOKUP(G23,WD!$C$6:$K$77,3,0)</f>
        <v>CYMCASS</v>
      </c>
      <c r="K23" s="197">
        <v>1</v>
      </c>
      <c r="L23" s="180">
        <f>21+11</f>
        <v>32</v>
      </c>
      <c r="M23" s="180">
        <f>9+21</f>
        <v>30</v>
      </c>
      <c r="N23" s="180">
        <v>1</v>
      </c>
      <c r="O23" s="198" t="s">
        <v>787</v>
      </c>
      <c r="P23" s="164"/>
      <c r="Q23" s="179">
        <v>2</v>
      </c>
      <c r="R23" s="199" t="s">
        <v>788</v>
      </c>
      <c r="S23" s="199">
        <v>1</v>
      </c>
      <c r="T23" s="199">
        <v>0</v>
      </c>
      <c r="U23" s="199">
        <v>1</v>
      </c>
      <c r="V23" s="199">
        <f>S23*3+T23*1+U23*0</f>
        <v>3</v>
      </c>
      <c r="X23" s="321"/>
      <c r="Y23" s="322" t="s">
        <v>610</v>
      </c>
      <c r="Z23" s="322"/>
      <c r="AA23" s="322"/>
      <c r="AB23" s="322"/>
      <c r="AC23" s="322">
        <f>Z23*3+AA23*1+AB23*0</f>
        <v>0</v>
      </c>
    </row>
    <row r="24" spans="1:29" hidden="1">
      <c r="A24" s="200" t="e">
        <f>IF(#REF!&lt;&gt;#REF!,#REF!,"")</f>
        <v>#REF!</v>
      </c>
      <c r="B24" s="475">
        <v>16</v>
      </c>
      <c r="C24" s="476" t="s">
        <v>446</v>
      </c>
      <c r="D24" s="477">
        <v>1</v>
      </c>
      <c r="E24" s="332" t="s">
        <v>137</v>
      </c>
      <c r="F24" s="318" t="s">
        <v>405</v>
      </c>
      <c r="G24" s="319" t="s">
        <v>328</v>
      </c>
      <c r="H24" s="180" t="str">
        <f>VLOOKUP(E24,WD!$C$6:$K$77,3,0)</f>
        <v>LAM&amp;ZOE</v>
      </c>
      <c r="I24" s="196" t="s">
        <v>405</v>
      </c>
      <c r="J24" s="180" t="str">
        <f>VLOOKUP(G24,WD!$C$6:$K$77,3,0)</f>
        <v>D4</v>
      </c>
      <c r="K24" s="197"/>
      <c r="L24" s="180"/>
      <c r="M24" s="180"/>
      <c r="N24" s="180"/>
      <c r="P24" s="20"/>
      <c r="Q24" s="20"/>
      <c r="R24" s="20"/>
      <c r="S24" s="20"/>
      <c r="T24" s="20"/>
      <c r="U24" s="20"/>
      <c r="V24" s="20"/>
      <c r="W24" s="20"/>
      <c r="X24" s="490"/>
      <c r="Y24" s="490"/>
      <c r="Z24" s="491"/>
      <c r="AA24" s="491"/>
      <c r="AB24" s="491"/>
      <c r="AC24" s="491"/>
    </row>
    <row r="25" spans="1:29">
      <c r="A25" s="200" t="e">
        <f>IF(#REF!&lt;&gt;#REF!,#REF!,"")</f>
        <v>#REF!</v>
      </c>
      <c r="B25" s="475">
        <v>17</v>
      </c>
      <c r="C25" s="476" t="s">
        <v>446</v>
      </c>
      <c r="D25" s="477">
        <v>2</v>
      </c>
      <c r="E25" s="332" t="s">
        <v>191</v>
      </c>
      <c r="F25" s="318" t="s">
        <v>405</v>
      </c>
      <c r="G25" s="319" t="s">
        <v>233</v>
      </c>
      <c r="H25" s="180" t="str">
        <f>VLOOKUP(E25,WD!$C$6:$K$77,3,0)</f>
        <v>YSYL</v>
      </c>
      <c r="I25" s="196" t="s">
        <v>405</v>
      </c>
      <c r="J25" s="180" t="str">
        <f>VLOOKUP(G25,WD!$C$6:$K$77,3,0)</f>
        <v>Limit</v>
      </c>
      <c r="K25" s="197">
        <v>0</v>
      </c>
      <c r="L25" s="180">
        <v>0</v>
      </c>
      <c r="M25" s="180">
        <v>42</v>
      </c>
      <c r="N25" s="180">
        <v>2</v>
      </c>
      <c r="O25" s="198" t="s">
        <v>789</v>
      </c>
      <c r="P25" s="20"/>
      <c r="Q25" s="110">
        <v>3</v>
      </c>
      <c r="R25" s="492" t="s">
        <v>640</v>
      </c>
      <c r="S25" s="493">
        <v>0</v>
      </c>
      <c r="T25" s="493">
        <v>1</v>
      </c>
      <c r="U25" s="493">
        <v>1</v>
      </c>
      <c r="V25" s="199">
        <f>S25*3+T25*1+U25*0</f>
        <v>1</v>
      </c>
      <c r="W25" s="20"/>
      <c r="X25" s="494"/>
      <c r="Y25" s="495" t="s">
        <v>635</v>
      </c>
      <c r="Z25" s="321"/>
      <c r="AA25" s="321"/>
      <c r="AB25" s="321"/>
      <c r="AC25" s="322">
        <f>Z25*3+AA25*1+AB25*0</f>
        <v>0</v>
      </c>
    </row>
    <row r="26" spans="1:29">
      <c r="A26" s="200" t="e">
        <f>IF(#REF!&lt;&gt;#REF!,#REF!,"")</f>
        <v>#REF!</v>
      </c>
      <c r="B26" s="475">
        <v>18</v>
      </c>
      <c r="C26" s="476" t="s">
        <v>446</v>
      </c>
      <c r="D26" s="477">
        <v>3</v>
      </c>
      <c r="E26" s="332" t="s">
        <v>137</v>
      </c>
      <c r="F26" s="318" t="s">
        <v>405</v>
      </c>
      <c r="G26" s="319" t="s">
        <v>233</v>
      </c>
      <c r="H26" s="180" t="str">
        <f>VLOOKUP(E26,WD!$C$6:$K$77,3,0)</f>
        <v>LAM&amp;ZOE</v>
      </c>
      <c r="I26" s="196" t="s">
        <v>405</v>
      </c>
      <c r="J26" s="180" t="str">
        <f>VLOOKUP(G26,WD!$C$6:$K$77,3,0)</f>
        <v>Limit</v>
      </c>
      <c r="K26" s="197">
        <v>0</v>
      </c>
      <c r="L26" s="180">
        <v>0</v>
      </c>
      <c r="M26" s="180">
        <v>42</v>
      </c>
      <c r="N26" s="180">
        <v>2</v>
      </c>
      <c r="O26" s="198" t="s">
        <v>790</v>
      </c>
      <c r="P26" s="20"/>
      <c r="Q26" s="413"/>
      <c r="R26" s="413"/>
      <c r="S26" s="413"/>
      <c r="T26" s="413"/>
      <c r="U26" s="413"/>
      <c r="V26" s="413"/>
      <c r="W26" s="413"/>
      <c r="X26" s="413"/>
      <c r="Y26" s="413"/>
      <c r="Z26" s="496"/>
      <c r="AA26" s="496"/>
      <c r="AB26" s="496"/>
      <c r="AC26" s="496"/>
    </row>
    <row r="27" spans="1:29" hidden="1">
      <c r="A27" s="200" t="e">
        <f>IF(#REF!&lt;&gt;#REF!,#REF!,"")</f>
        <v>#REF!</v>
      </c>
      <c r="B27" s="475">
        <v>19</v>
      </c>
      <c r="C27" s="476" t="s">
        <v>446</v>
      </c>
      <c r="D27" s="477">
        <v>4</v>
      </c>
      <c r="E27" s="332" t="s">
        <v>191</v>
      </c>
      <c r="F27" s="318" t="s">
        <v>405</v>
      </c>
      <c r="G27" s="319" t="s">
        <v>328</v>
      </c>
      <c r="H27" s="180" t="str">
        <f>VLOOKUP(E27,WD!$C$6:$K$77,3,0)</f>
        <v>YSYL</v>
      </c>
      <c r="I27" s="196" t="s">
        <v>405</v>
      </c>
      <c r="J27" s="180" t="str">
        <f>VLOOKUP(G27,WD!$C$6:$K$77,3,0)</f>
        <v>D4</v>
      </c>
      <c r="K27" s="197"/>
      <c r="L27" s="180"/>
      <c r="M27" s="180"/>
      <c r="N27" s="18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9" hidden="1">
      <c r="A28" s="200" t="e">
        <f>IF(#REF!&lt;&gt;#REF!,#REF!,"")</f>
        <v>#REF!</v>
      </c>
      <c r="B28" s="475">
        <v>20</v>
      </c>
      <c r="C28" s="476" t="s">
        <v>446</v>
      </c>
      <c r="D28" s="477">
        <v>5</v>
      </c>
      <c r="E28" s="332" t="s">
        <v>233</v>
      </c>
      <c r="F28" s="318" t="s">
        <v>405</v>
      </c>
      <c r="G28" s="319" t="s">
        <v>328</v>
      </c>
      <c r="H28" s="180" t="str">
        <f>VLOOKUP(E28,WD!$C$6:$K$77,3,0)</f>
        <v>Limit</v>
      </c>
      <c r="I28" s="196" t="s">
        <v>405</v>
      </c>
      <c r="J28" s="180" t="str">
        <f>VLOOKUP(G28,WD!$C$6:$K$77,3,0)</f>
        <v>D4</v>
      </c>
      <c r="K28" s="497"/>
      <c r="L28" s="173"/>
      <c r="M28" s="173"/>
      <c r="N28" s="173"/>
      <c r="P28" s="20"/>
      <c r="Q28" s="187" t="s">
        <v>400</v>
      </c>
      <c r="R28" s="188" t="s">
        <v>50</v>
      </c>
      <c r="S28" s="188" t="s">
        <v>401</v>
      </c>
      <c r="T28" s="188" t="s">
        <v>402</v>
      </c>
      <c r="U28" s="188" t="s">
        <v>403</v>
      </c>
      <c r="V28" s="188" t="s">
        <v>61</v>
      </c>
    </row>
    <row r="29" spans="1:29">
      <c r="A29" s="200" t="e">
        <f>IF(#REF!&lt;&gt;#REF!,#REF!,"")</f>
        <v>#REF!</v>
      </c>
      <c r="B29" s="475">
        <v>21</v>
      </c>
      <c r="C29" s="481" t="s">
        <v>446</v>
      </c>
      <c r="D29" s="482">
        <v>6</v>
      </c>
      <c r="E29" s="335" t="s">
        <v>137</v>
      </c>
      <c r="F29" s="325" t="s">
        <v>405</v>
      </c>
      <c r="G29" s="325" t="s">
        <v>191</v>
      </c>
      <c r="H29" s="180" t="str">
        <f>VLOOKUP(E29,WD!$C$6:$K$77,3,0)</f>
        <v>LAM&amp;ZOE</v>
      </c>
      <c r="I29" s="196" t="s">
        <v>405</v>
      </c>
      <c r="J29" s="180" t="str">
        <f>VLOOKUP(G29,WD!$C$6:$K$77,3,0)</f>
        <v>YSYL</v>
      </c>
      <c r="K29" s="197" t="s">
        <v>520</v>
      </c>
      <c r="L29" s="196" t="s">
        <v>520</v>
      </c>
      <c r="M29" s="196" t="s">
        <v>520</v>
      </c>
      <c r="N29" s="196" t="s">
        <v>520</v>
      </c>
      <c r="O29" s="198" t="s">
        <v>521</v>
      </c>
      <c r="P29" s="20"/>
      <c r="Q29" s="496"/>
      <c r="R29" s="498"/>
      <c r="S29" s="498"/>
      <c r="T29" s="498"/>
      <c r="U29" s="498"/>
      <c r="V29" s="498"/>
    </row>
    <row r="30" spans="1:29" hidden="1">
      <c r="B30" s="475">
        <v>22</v>
      </c>
      <c r="C30" s="487" t="s">
        <v>438</v>
      </c>
      <c r="D30" s="477">
        <v>1</v>
      </c>
      <c r="E30" s="332" t="s">
        <v>143</v>
      </c>
      <c r="F30" s="318" t="s">
        <v>405</v>
      </c>
      <c r="G30" s="319" t="s">
        <v>304</v>
      </c>
      <c r="H30" s="180" t="str">
        <f>VLOOKUP(E30,WD!$C$6:$K$77,3,0)</f>
        <v>Reunion</v>
      </c>
      <c r="I30" s="196" t="s">
        <v>405</v>
      </c>
      <c r="J30" s="180" t="e">
        <f>VLOOKUP(G30,WD!$C$6:$K$77,3,0)</f>
        <v>#N/A</v>
      </c>
      <c r="K30" s="197"/>
      <c r="L30" s="180"/>
      <c r="M30" s="180"/>
      <c r="N30" s="180"/>
      <c r="P30" s="20"/>
      <c r="Q30" s="496"/>
      <c r="R30" s="498"/>
      <c r="S30" s="498"/>
      <c r="T30" s="498"/>
      <c r="U30" s="498"/>
      <c r="V30" s="498"/>
    </row>
    <row r="31" spans="1:29">
      <c r="B31" s="475">
        <v>23</v>
      </c>
      <c r="C31" s="487" t="s">
        <v>438</v>
      </c>
      <c r="D31" s="477">
        <v>2</v>
      </c>
      <c r="E31" s="332" t="s">
        <v>185</v>
      </c>
      <c r="F31" s="318" t="s">
        <v>405</v>
      </c>
      <c r="G31" s="319" t="s">
        <v>239</v>
      </c>
      <c r="H31" s="180" t="str">
        <f>VLOOKUP(E31,WD!$C$6:$K$77,3,0)</f>
        <v>J&amp;M</v>
      </c>
      <c r="I31" s="196" t="s">
        <v>405</v>
      </c>
      <c r="J31" s="180" t="str">
        <f>VLOOKUP(G31,WD!$C$6:$K$77,3,0)</f>
        <v>GLORY</v>
      </c>
      <c r="K31" s="197">
        <v>0</v>
      </c>
      <c r="L31" s="180">
        <v>0</v>
      </c>
      <c r="M31" s="180">
        <v>42</v>
      </c>
      <c r="N31" s="180">
        <v>2</v>
      </c>
      <c r="O31" s="198" t="s">
        <v>791</v>
      </c>
      <c r="P31" s="198" t="s">
        <v>438</v>
      </c>
      <c r="Q31" s="479">
        <v>1</v>
      </c>
      <c r="R31" s="499" t="s">
        <v>615</v>
      </c>
      <c r="S31" s="480">
        <v>1</v>
      </c>
      <c r="T31" s="480">
        <v>0</v>
      </c>
      <c r="U31" s="480">
        <v>0</v>
      </c>
      <c r="V31" s="199">
        <f>S31*3+T31*1+U31*0</f>
        <v>3</v>
      </c>
      <c r="W31" s="198" t="s">
        <v>439</v>
      </c>
      <c r="X31" s="179">
        <v>1</v>
      </c>
      <c r="Y31" s="500" t="s">
        <v>664</v>
      </c>
      <c r="Z31" s="501">
        <v>0</v>
      </c>
      <c r="AA31" s="501">
        <v>1</v>
      </c>
      <c r="AB31" s="501">
        <v>0</v>
      </c>
      <c r="AC31" s="199">
        <f>Z31*3+AA31*1+AB31*0</f>
        <v>1</v>
      </c>
    </row>
    <row r="32" spans="1:29">
      <c r="B32" s="475">
        <v>24</v>
      </c>
      <c r="C32" s="487" t="s">
        <v>438</v>
      </c>
      <c r="D32" s="477">
        <v>3</v>
      </c>
      <c r="E32" s="332" t="s">
        <v>143</v>
      </c>
      <c r="F32" s="318" t="s">
        <v>405</v>
      </c>
      <c r="G32" s="319" t="s">
        <v>239</v>
      </c>
      <c r="H32" s="180" t="str">
        <f>VLOOKUP(E32,WD!$C$6:$K$77,3,0)</f>
        <v>Reunion</v>
      </c>
      <c r="I32" s="196" t="s">
        <v>405</v>
      </c>
      <c r="J32" s="180" t="str">
        <f>VLOOKUP(G32,WD!$C$6:$K$77,3,0)</f>
        <v>GLORY</v>
      </c>
      <c r="K32" s="197">
        <v>0</v>
      </c>
      <c r="L32" s="180">
        <f>21+21</f>
        <v>42</v>
      </c>
      <c r="M32" s="180">
        <f>7+17</f>
        <v>24</v>
      </c>
      <c r="N32" s="180">
        <v>2</v>
      </c>
      <c r="O32" s="198" t="s">
        <v>792</v>
      </c>
      <c r="P32" s="20"/>
      <c r="Q32" s="179">
        <v>2</v>
      </c>
      <c r="R32" s="199" t="s">
        <v>644</v>
      </c>
      <c r="S32" s="199">
        <v>0</v>
      </c>
      <c r="T32" s="199">
        <v>0</v>
      </c>
      <c r="U32" s="199">
        <v>1</v>
      </c>
      <c r="V32" s="199">
        <f>S32*3+T32*1+U32*0</f>
        <v>0</v>
      </c>
      <c r="X32" s="179">
        <v>2</v>
      </c>
      <c r="Y32" s="502" t="s">
        <v>650</v>
      </c>
      <c r="Z32" s="501">
        <v>0</v>
      </c>
      <c r="AA32" s="501">
        <v>1</v>
      </c>
      <c r="AB32" s="501">
        <v>0</v>
      </c>
      <c r="AC32" s="199">
        <f>Z32*3+AA32*1+AB32*0</f>
        <v>1</v>
      </c>
    </row>
    <row r="33" spans="2:29" hidden="1">
      <c r="B33" s="475">
        <v>25</v>
      </c>
      <c r="C33" s="487" t="s">
        <v>438</v>
      </c>
      <c r="D33" s="477">
        <v>4</v>
      </c>
      <c r="E33" s="332" t="s">
        <v>185</v>
      </c>
      <c r="F33" s="318" t="s">
        <v>405</v>
      </c>
      <c r="G33" s="319" t="s">
        <v>304</v>
      </c>
      <c r="H33" s="180" t="str">
        <f>VLOOKUP(E33,WD!$C$6:$K$77,3,0)</f>
        <v>J&amp;M</v>
      </c>
      <c r="I33" s="196" t="s">
        <v>405</v>
      </c>
      <c r="J33" s="180" t="e">
        <f>VLOOKUP(G33,WD!$C$6:$K$77,3,0)</f>
        <v>#N/A</v>
      </c>
      <c r="K33" s="197"/>
      <c r="L33" s="180"/>
      <c r="M33" s="180"/>
      <c r="N33" s="180"/>
      <c r="P33" s="20"/>
      <c r="Q33" s="179"/>
      <c r="R33" s="179"/>
      <c r="S33" s="179"/>
      <c r="T33" s="179"/>
      <c r="U33" s="179"/>
      <c r="V33" s="199">
        <f>S33*3+T33*1+U33*0</f>
        <v>0</v>
      </c>
      <c r="X33" s="179"/>
      <c r="Y33" s="179"/>
      <c r="Z33" s="179"/>
      <c r="AA33" s="179"/>
      <c r="AB33" s="179"/>
      <c r="AC33" s="179"/>
    </row>
    <row r="34" spans="2:29" hidden="1">
      <c r="B34" s="475">
        <v>26</v>
      </c>
      <c r="C34" s="487" t="s">
        <v>438</v>
      </c>
      <c r="D34" s="477">
        <v>5</v>
      </c>
      <c r="E34" s="332" t="s">
        <v>239</v>
      </c>
      <c r="F34" s="318" t="s">
        <v>405</v>
      </c>
      <c r="G34" s="319" t="s">
        <v>304</v>
      </c>
      <c r="H34" s="180" t="str">
        <f>VLOOKUP(E34,WD!$C$6:$K$77,3,0)</f>
        <v>GLORY</v>
      </c>
      <c r="I34" s="196" t="s">
        <v>405</v>
      </c>
      <c r="J34" s="180" t="e">
        <f>VLOOKUP(G34,WD!$C$6:$K$77,3,0)</f>
        <v>#N/A</v>
      </c>
      <c r="K34" s="197"/>
      <c r="L34" s="180"/>
      <c r="M34" s="180"/>
      <c r="N34" s="180"/>
      <c r="P34" s="20"/>
      <c r="Q34" s="179"/>
      <c r="R34" s="179"/>
      <c r="S34" s="179"/>
      <c r="T34" s="179"/>
      <c r="U34" s="179"/>
      <c r="V34" s="199">
        <f>S34*3+T34*1+U34*0</f>
        <v>0</v>
      </c>
      <c r="X34" s="179"/>
      <c r="Y34" s="179"/>
      <c r="Z34" s="179"/>
      <c r="AA34" s="179"/>
      <c r="AB34" s="179"/>
      <c r="AC34" s="179"/>
    </row>
    <row r="35" spans="2:29">
      <c r="B35" s="475">
        <v>27</v>
      </c>
      <c r="C35" s="481" t="s">
        <v>438</v>
      </c>
      <c r="D35" s="482">
        <v>6</v>
      </c>
      <c r="E35" s="335" t="s">
        <v>143</v>
      </c>
      <c r="F35" s="325" t="s">
        <v>405</v>
      </c>
      <c r="G35" s="325" t="s">
        <v>185</v>
      </c>
      <c r="H35" s="180" t="str">
        <f>VLOOKUP(E35,WD!$C$6:$K$77,3,0)</f>
        <v>Reunion</v>
      </c>
      <c r="I35" s="196" t="s">
        <v>405</v>
      </c>
      <c r="J35" s="180" t="str">
        <f>VLOOKUP(G35,WD!$C$6:$K$77,3,0)</f>
        <v>J&amp;M</v>
      </c>
      <c r="K35" s="197">
        <v>2</v>
      </c>
      <c r="L35" s="180">
        <v>42</v>
      </c>
      <c r="M35" s="180">
        <v>0</v>
      </c>
      <c r="N35" s="180">
        <v>0</v>
      </c>
      <c r="O35" s="198" t="s">
        <v>791</v>
      </c>
      <c r="Q35" s="321"/>
      <c r="R35" s="503" t="s">
        <v>630</v>
      </c>
      <c r="S35" s="321"/>
      <c r="T35" s="321"/>
      <c r="U35" s="321"/>
      <c r="V35" s="322">
        <f>S35*3+T35*1+U35*0</f>
        <v>0</v>
      </c>
      <c r="X35" s="504"/>
      <c r="Y35" s="505" t="s">
        <v>625</v>
      </c>
      <c r="Z35" s="504"/>
      <c r="AA35" s="504"/>
      <c r="AB35" s="504"/>
      <c r="AC35" s="322">
        <f>Z35*3+AA35*1+AB35*0</f>
        <v>0</v>
      </c>
    </row>
    <row r="36" spans="2:29">
      <c r="B36" s="478">
        <v>31</v>
      </c>
      <c r="C36" s="487" t="s">
        <v>439</v>
      </c>
      <c r="D36" s="477">
        <v>1</v>
      </c>
      <c r="E36" s="310" t="s">
        <v>149</v>
      </c>
      <c r="F36" s="313" t="s">
        <v>405</v>
      </c>
      <c r="G36" s="313" t="s">
        <v>269</v>
      </c>
      <c r="H36" s="180" t="str">
        <f>VLOOKUP(E36,WD!$C$6:$K$77,3,0)</f>
        <v>求奇</v>
      </c>
      <c r="I36" s="196" t="s">
        <v>405</v>
      </c>
      <c r="J36" s="180" t="str">
        <f>VLOOKUP(G36,WD!$C$6:$K$77,3,0)</f>
        <v>VANICA</v>
      </c>
      <c r="K36" s="197">
        <v>2</v>
      </c>
      <c r="L36" s="180">
        <v>42</v>
      </c>
      <c r="M36" s="180">
        <v>0</v>
      </c>
      <c r="N36" s="180">
        <v>0</v>
      </c>
      <c r="O36" s="506" t="s">
        <v>793</v>
      </c>
      <c r="Q36" s="496"/>
      <c r="R36" s="496"/>
      <c r="S36" s="496"/>
      <c r="T36" s="496"/>
      <c r="U36" s="496"/>
      <c r="V36" s="496"/>
      <c r="X36" s="321"/>
      <c r="Y36" s="507" t="s">
        <v>620</v>
      </c>
      <c r="Z36" s="321"/>
      <c r="AA36" s="321"/>
      <c r="AB36" s="321"/>
      <c r="AC36" s="322">
        <f>Z36*3+AA36*1+AB36*0</f>
        <v>0</v>
      </c>
    </row>
    <row r="37" spans="2:29">
      <c r="B37" s="478">
        <v>16</v>
      </c>
      <c r="C37" s="487" t="s">
        <v>439</v>
      </c>
      <c r="D37" s="477">
        <v>2</v>
      </c>
      <c r="E37" s="332" t="s">
        <v>179</v>
      </c>
      <c r="F37" s="318" t="s">
        <v>405</v>
      </c>
      <c r="G37" s="319" t="s">
        <v>244</v>
      </c>
      <c r="H37" s="180" t="str">
        <f>VLOOKUP(E37,WD!$C$6:$K$77,3,0)</f>
        <v>CKYK</v>
      </c>
      <c r="I37" s="196" t="s">
        <v>405</v>
      </c>
      <c r="J37" s="180" t="str">
        <f>VLOOKUP(G37,WD!$C$6:$K$77,3,0)</f>
        <v>麥糖</v>
      </c>
      <c r="K37" s="197">
        <v>0</v>
      </c>
      <c r="L37" s="180">
        <v>0</v>
      </c>
      <c r="M37" s="180">
        <v>42</v>
      </c>
      <c r="N37" s="180">
        <v>2</v>
      </c>
      <c r="O37" s="198" t="s">
        <v>794</v>
      </c>
      <c r="X37" s="496"/>
      <c r="Y37" s="496"/>
      <c r="Z37" s="496"/>
      <c r="AA37" s="496"/>
      <c r="AB37" s="496"/>
      <c r="AC37" s="496"/>
    </row>
    <row r="38" spans="2:29">
      <c r="B38" s="478">
        <v>17</v>
      </c>
      <c r="C38" s="487" t="s">
        <v>439</v>
      </c>
      <c r="D38" s="477">
        <v>3</v>
      </c>
      <c r="E38" s="332" t="s">
        <v>149</v>
      </c>
      <c r="F38" s="318" t="s">
        <v>405</v>
      </c>
      <c r="G38" s="319" t="s">
        <v>244</v>
      </c>
      <c r="H38" s="180" t="str">
        <f>VLOOKUP(E38,WD!$C$6:$K$77,3,0)</f>
        <v>求奇</v>
      </c>
      <c r="I38" s="196" t="s">
        <v>405</v>
      </c>
      <c r="J38" s="180" t="str">
        <f>VLOOKUP(G38,WD!$C$6:$K$77,3,0)</f>
        <v>麥糖</v>
      </c>
      <c r="K38" s="197">
        <v>0</v>
      </c>
      <c r="L38" s="180">
        <v>0</v>
      </c>
      <c r="M38" s="180">
        <v>42</v>
      </c>
      <c r="N38" s="180">
        <v>2</v>
      </c>
      <c r="O38" s="506" t="s">
        <v>793</v>
      </c>
    </row>
    <row r="39" spans="2:29">
      <c r="B39" s="478">
        <v>34</v>
      </c>
      <c r="C39" s="487" t="s">
        <v>439</v>
      </c>
      <c r="D39" s="477">
        <v>4</v>
      </c>
      <c r="E39" s="332" t="s">
        <v>179</v>
      </c>
      <c r="F39" s="318" t="s">
        <v>405</v>
      </c>
      <c r="G39" s="319" t="s">
        <v>269</v>
      </c>
      <c r="H39" s="180" t="str">
        <f>VLOOKUP(E39,WD!$C$6:$K$77,3,0)</f>
        <v>CKYK</v>
      </c>
      <c r="I39" s="196" t="s">
        <v>405</v>
      </c>
      <c r="J39" s="180" t="str">
        <f>VLOOKUP(G39,WD!$C$6:$K$77,3,0)</f>
        <v>VANICA</v>
      </c>
      <c r="K39" s="197">
        <v>0</v>
      </c>
      <c r="L39" s="180">
        <v>0</v>
      </c>
      <c r="M39" s="180">
        <v>42</v>
      </c>
      <c r="N39" s="180">
        <v>2</v>
      </c>
      <c r="O39" s="198" t="s">
        <v>794</v>
      </c>
    </row>
    <row r="40" spans="2:29">
      <c r="B40" s="478">
        <v>35</v>
      </c>
      <c r="C40" s="487" t="s">
        <v>439</v>
      </c>
      <c r="D40" s="477">
        <v>5</v>
      </c>
      <c r="E40" s="332" t="s">
        <v>244</v>
      </c>
      <c r="F40" s="318" t="s">
        <v>405</v>
      </c>
      <c r="G40" s="319" t="s">
        <v>269</v>
      </c>
      <c r="H40" s="180" t="str">
        <f>VLOOKUP(E40,WD!$C$6:$K$77,3,0)</f>
        <v>麥糖</v>
      </c>
      <c r="I40" s="196" t="s">
        <v>405</v>
      </c>
      <c r="J40" s="180" t="str">
        <f>VLOOKUP(G40,WD!$C$6:$K$77,3,0)</f>
        <v>VANICA</v>
      </c>
      <c r="K40" s="197">
        <v>1</v>
      </c>
      <c r="L40" s="180">
        <f>21+21</f>
        <v>42</v>
      </c>
      <c r="M40" s="180">
        <f>17+23</f>
        <v>40</v>
      </c>
      <c r="N40" s="180">
        <v>1</v>
      </c>
      <c r="O40" s="198" t="s">
        <v>795</v>
      </c>
    </row>
    <row r="41" spans="2:29">
      <c r="B41" s="478">
        <v>18</v>
      </c>
      <c r="C41" s="481" t="s">
        <v>439</v>
      </c>
      <c r="D41" s="482">
        <v>6</v>
      </c>
      <c r="E41" s="335" t="s">
        <v>149</v>
      </c>
      <c r="F41" s="325" t="s">
        <v>405</v>
      </c>
      <c r="G41" s="325" t="s">
        <v>179</v>
      </c>
      <c r="H41" s="180" t="str">
        <f>VLOOKUP(E41,WD!$C$6:$K$77,3,0)</f>
        <v>求奇</v>
      </c>
      <c r="I41" s="196" t="s">
        <v>405</v>
      </c>
      <c r="J41" s="180" t="str">
        <f>VLOOKUP(G41,WD!$C$6:$K$77,3,0)</f>
        <v>CKYK</v>
      </c>
      <c r="K41" s="197" t="s">
        <v>520</v>
      </c>
      <c r="L41" s="196" t="s">
        <v>520</v>
      </c>
      <c r="M41" s="196" t="s">
        <v>520</v>
      </c>
      <c r="N41" s="196" t="s">
        <v>520</v>
      </c>
      <c r="O41" s="198" t="s">
        <v>521</v>
      </c>
    </row>
  </sheetData>
  <mergeCells count="1">
    <mergeCell ref="H3:J3"/>
  </mergeCells>
  <phoneticPr fontId="118" type="noConversion"/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388"/>
  <sheetViews>
    <sheetView topLeftCell="A371" zoomScale="115" zoomScaleNormal="115" workbookViewId="0">
      <selection activeCell="J391" sqref="J391"/>
    </sheetView>
  </sheetViews>
  <sheetFormatPr defaultRowHeight="17.25"/>
  <cols>
    <col min="1" max="1" width="7.44140625" style="508" customWidth="1"/>
    <col min="2" max="2" width="11.33203125" style="508"/>
    <col min="3" max="3" width="7.44140625" style="509" customWidth="1"/>
    <col min="4" max="4" width="10.109375" style="509" customWidth="1"/>
    <col min="5" max="5" width="9.6640625" style="509" customWidth="1"/>
    <col min="6" max="6" width="11.109375" style="509" customWidth="1"/>
    <col min="7" max="7" width="11.21875" style="509" customWidth="1"/>
    <col min="8" max="8" width="10.6640625" style="509" customWidth="1"/>
    <col min="9" max="9" width="10.6640625" style="508" customWidth="1"/>
    <col min="10" max="10" width="13.109375" style="508" customWidth="1"/>
    <col min="11" max="11" width="7.44140625" style="508" customWidth="1"/>
    <col min="12" max="13" width="7.44140625" style="509" customWidth="1"/>
    <col min="14" max="14" width="7.44140625" style="508" customWidth="1"/>
    <col min="15" max="15" width="11.21875" style="509" customWidth="1"/>
    <col min="16" max="16" width="10.6640625" style="509" customWidth="1"/>
    <col min="17" max="18" width="10.77734375" style="509" customWidth="1"/>
    <col min="19" max="19" width="10.77734375" style="508" customWidth="1"/>
    <col min="20" max="20" width="3.77734375" style="509" bestFit="1" customWidth="1"/>
    <col min="21" max="23" width="10.77734375" style="508" customWidth="1"/>
    <col min="24" max="1025" width="7.44140625" style="508" customWidth="1"/>
  </cols>
  <sheetData>
    <row r="1" spans="2:15" ht="16.5" customHeight="1">
      <c r="B1" s="510"/>
      <c r="C1" s="511"/>
      <c r="D1" s="511"/>
      <c r="E1" s="511"/>
      <c r="G1" s="512"/>
      <c r="H1" s="513" t="s">
        <v>796</v>
      </c>
      <c r="I1" s="512"/>
      <c r="J1" s="512"/>
    </row>
    <row r="2" spans="2:15" ht="16.5" customHeight="1">
      <c r="C2" s="511"/>
      <c r="D2" s="511"/>
      <c r="E2" s="511"/>
      <c r="G2" s="512"/>
      <c r="H2" s="514" t="s">
        <v>797</v>
      </c>
      <c r="I2" s="512"/>
      <c r="J2" s="512"/>
    </row>
    <row r="3" spans="2:15" ht="16.5" customHeight="1">
      <c r="C3" s="511"/>
      <c r="D3" s="511"/>
      <c r="E3" s="511"/>
      <c r="F3" s="512"/>
      <c r="G3" s="512"/>
      <c r="H3" s="512"/>
      <c r="I3" s="512"/>
      <c r="J3" s="512"/>
    </row>
    <row r="4" spans="2:15" ht="16.5" customHeight="1">
      <c r="C4" s="511"/>
      <c r="D4" s="511"/>
      <c r="E4" s="515"/>
      <c r="F4" s="516"/>
      <c r="G4" s="517"/>
      <c r="H4" s="518" t="s">
        <v>798</v>
      </c>
      <c r="I4" s="517"/>
      <c r="J4" s="517"/>
    </row>
    <row r="5" spans="2:15" ht="16.5" customHeight="1">
      <c r="E5" s="519"/>
      <c r="F5" s="516"/>
      <c r="G5" s="519"/>
      <c r="H5" s="520" t="s">
        <v>799</v>
      </c>
      <c r="I5" s="516"/>
      <c r="J5" s="516"/>
    </row>
    <row r="6" spans="2:15">
      <c r="B6" s="509"/>
      <c r="I6" s="509"/>
      <c r="J6" s="509"/>
    </row>
    <row r="7" spans="2:15" ht="18" thickBot="1">
      <c r="B7" s="509"/>
      <c r="E7" s="521" t="s">
        <v>800</v>
      </c>
      <c r="F7" s="521"/>
      <c r="I7" s="509"/>
      <c r="J7" s="509"/>
      <c r="L7" s="521" t="s">
        <v>801</v>
      </c>
      <c r="M7" s="521"/>
      <c r="N7" s="521"/>
    </row>
    <row r="8" spans="2:15" ht="18" thickTop="1">
      <c r="B8" s="509"/>
      <c r="C8" s="522" t="s">
        <v>372</v>
      </c>
      <c r="D8" s="523" t="s">
        <v>802</v>
      </c>
      <c r="E8" s="524" t="s">
        <v>803</v>
      </c>
      <c r="F8" s="524" t="s">
        <v>804</v>
      </c>
      <c r="G8" s="525"/>
      <c r="I8" s="509"/>
      <c r="J8" s="526" t="s">
        <v>805</v>
      </c>
      <c r="K8" s="526" t="s">
        <v>806</v>
      </c>
      <c r="L8" s="676" t="s">
        <v>807</v>
      </c>
      <c r="M8" s="676"/>
      <c r="N8" s="676"/>
      <c r="O8" s="676"/>
    </row>
    <row r="9" spans="2:15">
      <c r="B9" s="509"/>
      <c r="C9" s="527"/>
      <c r="D9" s="528" t="s">
        <v>808</v>
      </c>
      <c r="E9" s="529" t="s">
        <v>809</v>
      </c>
      <c r="F9" s="296" t="s">
        <v>810</v>
      </c>
      <c r="G9" s="530"/>
      <c r="I9" s="509"/>
      <c r="J9" s="531" t="s">
        <v>811</v>
      </c>
      <c r="K9" s="531" t="s">
        <v>812</v>
      </c>
      <c r="L9" s="532" t="s">
        <v>404</v>
      </c>
      <c r="M9" s="532" t="s">
        <v>444</v>
      </c>
      <c r="N9" s="533"/>
      <c r="O9" s="532"/>
    </row>
    <row r="10" spans="2:15">
      <c r="B10" s="534"/>
      <c r="C10" s="527"/>
      <c r="D10" s="528" t="s">
        <v>813</v>
      </c>
      <c r="E10" s="528" t="s">
        <v>814</v>
      </c>
      <c r="F10" s="535" t="s">
        <v>397</v>
      </c>
      <c r="G10" s="530"/>
      <c r="I10" s="509"/>
      <c r="J10" s="536">
        <v>0.375</v>
      </c>
      <c r="K10" s="532">
        <v>1</v>
      </c>
      <c r="L10" s="537" t="s">
        <v>815</v>
      </c>
      <c r="M10" s="538" t="s">
        <v>816</v>
      </c>
      <c r="N10" s="539"/>
      <c r="O10" s="540"/>
    </row>
    <row r="11" spans="2:15" ht="18" thickBot="1">
      <c r="B11" s="509"/>
      <c r="C11" s="541"/>
      <c r="D11" s="542" t="s">
        <v>817</v>
      </c>
      <c r="E11" s="543" t="s">
        <v>398</v>
      </c>
      <c r="F11" s="544" t="s">
        <v>818</v>
      </c>
      <c r="G11" s="545"/>
      <c r="I11" s="509"/>
      <c r="J11" s="536">
        <v>0.38888888888888901</v>
      </c>
      <c r="K11" s="532">
        <v>2</v>
      </c>
      <c r="L11" s="537" t="s">
        <v>819</v>
      </c>
      <c r="M11" s="537" t="s">
        <v>820</v>
      </c>
      <c r="N11" s="540"/>
      <c r="O11" s="546"/>
    </row>
    <row r="12" spans="2:15" ht="18" thickTop="1">
      <c r="B12" s="509"/>
      <c r="I12" s="509"/>
      <c r="J12" s="536">
        <v>0.40277777777777801</v>
      </c>
      <c r="K12" s="532">
        <v>3</v>
      </c>
      <c r="L12" s="537" t="s">
        <v>821</v>
      </c>
      <c r="M12" s="547" t="s">
        <v>822</v>
      </c>
      <c r="N12" s="540"/>
      <c r="O12" s="546"/>
    </row>
    <row r="13" spans="2:15">
      <c r="B13" s="509"/>
      <c r="I13" s="509"/>
      <c r="J13" s="536">
        <v>0.41666666666666702</v>
      </c>
      <c r="K13" s="526">
        <v>4</v>
      </c>
      <c r="L13" s="548" t="s">
        <v>823</v>
      </c>
      <c r="M13" s="537" t="s">
        <v>824</v>
      </c>
      <c r="N13" s="540"/>
      <c r="O13" s="546"/>
    </row>
    <row r="14" spans="2:15">
      <c r="B14" s="509"/>
      <c r="F14" s="508"/>
      <c r="I14" s="509"/>
      <c r="J14" s="549">
        <v>0.43055555555555602</v>
      </c>
      <c r="K14" s="532">
        <v>5</v>
      </c>
      <c r="L14" s="550" t="s">
        <v>825</v>
      </c>
      <c r="M14" s="547" t="s">
        <v>826</v>
      </c>
      <c r="N14" s="540"/>
      <c r="O14" s="546"/>
    </row>
    <row r="15" spans="2:15" ht="17.25" customHeight="1">
      <c r="B15" s="526" t="s">
        <v>805</v>
      </c>
      <c r="C15" s="526" t="s">
        <v>806</v>
      </c>
      <c r="D15" s="676" t="s">
        <v>807</v>
      </c>
      <c r="E15" s="676"/>
      <c r="F15" s="676"/>
      <c r="G15" s="676"/>
      <c r="I15" s="509"/>
      <c r="J15" s="536">
        <v>0.44444444444444398</v>
      </c>
      <c r="K15" s="532">
        <v>6</v>
      </c>
      <c r="L15" s="537" t="s">
        <v>827</v>
      </c>
      <c r="M15" s="551" t="s">
        <v>828</v>
      </c>
      <c r="N15" s="540"/>
      <c r="O15" s="546"/>
    </row>
    <row r="16" spans="2:15">
      <c r="B16" s="531" t="s">
        <v>811</v>
      </c>
      <c r="C16" s="531" t="s">
        <v>812</v>
      </c>
      <c r="D16" s="532" t="s">
        <v>404</v>
      </c>
      <c r="E16" s="532" t="s">
        <v>444</v>
      </c>
      <c r="F16" s="533"/>
      <c r="G16" s="532"/>
      <c r="I16" s="509"/>
      <c r="J16" s="677" t="s">
        <v>829</v>
      </c>
      <c r="K16" s="677"/>
      <c r="L16" s="677"/>
      <c r="M16" s="677"/>
      <c r="N16" s="677"/>
      <c r="O16" s="677"/>
    </row>
    <row r="17" spans="2:15">
      <c r="B17" s="549">
        <v>0.58333333333333304</v>
      </c>
      <c r="C17" s="532">
        <v>1</v>
      </c>
      <c r="D17" s="537" t="s">
        <v>830</v>
      </c>
      <c r="E17" s="537" t="s">
        <v>831</v>
      </c>
      <c r="F17" s="540"/>
      <c r="G17" s="540"/>
      <c r="I17" s="509"/>
      <c r="J17" s="549">
        <v>0.58333333333333304</v>
      </c>
      <c r="K17" s="532">
        <v>7</v>
      </c>
      <c r="L17" s="537" t="s">
        <v>832</v>
      </c>
      <c r="M17" s="537" t="s">
        <v>833</v>
      </c>
      <c r="N17" s="540"/>
      <c r="O17" s="546"/>
    </row>
    <row r="18" spans="2:15">
      <c r="B18" s="549">
        <v>0.59722222222222199</v>
      </c>
      <c r="C18" s="532">
        <v>2</v>
      </c>
      <c r="D18" s="537" t="s">
        <v>277</v>
      </c>
      <c r="E18" s="537" t="s">
        <v>281</v>
      </c>
      <c r="F18" s="540"/>
      <c r="G18" s="540"/>
      <c r="I18" s="509"/>
      <c r="J18" s="549">
        <v>0.59722222222222199</v>
      </c>
      <c r="K18" s="532">
        <v>8</v>
      </c>
      <c r="L18" s="681" t="s">
        <v>834</v>
      </c>
      <c r="M18" s="681"/>
      <c r="N18" s="540"/>
      <c r="O18" s="546"/>
    </row>
    <row r="19" spans="2:15">
      <c r="B19" s="549">
        <v>0.61111111111111105</v>
      </c>
      <c r="C19" s="532">
        <v>3</v>
      </c>
      <c r="D19" s="537" t="s">
        <v>835</v>
      </c>
      <c r="E19" s="537" t="s">
        <v>836</v>
      </c>
      <c r="F19" s="532"/>
      <c r="G19" s="532"/>
      <c r="I19" s="509"/>
      <c r="J19" s="549">
        <v>0.61111111111111105</v>
      </c>
      <c r="K19" s="532">
        <v>9</v>
      </c>
      <c r="L19" s="550" t="s">
        <v>837</v>
      </c>
      <c r="M19" s="537" t="s">
        <v>838</v>
      </c>
      <c r="N19" s="532"/>
      <c r="O19" s="532"/>
    </row>
    <row r="20" spans="2:15">
      <c r="B20" s="549">
        <v>0.625</v>
      </c>
      <c r="C20" s="532">
        <v>4</v>
      </c>
      <c r="D20" s="537" t="s">
        <v>300</v>
      </c>
      <c r="E20" s="537" t="s">
        <v>273</v>
      </c>
      <c r="F20" s="532"/>
      <c r="G20" s="532"/>
      <c r="I20" s="509"/>
      <c r="J20" s="549">
        <v>0.625</v>
      </c>
      <c r="K20" s="532">
        <v>10</v>
      </c>
      <c r="L20" s="681" t="s">
        <v>839</v>
      </c>
      <c r="M20" s="681"/>
      <c r="N20" s="532"/>
      <c r="O20" s="532"/>
    </row>
    <row r="21" spans="2:15">
      <c r="B21" s="549">
        <v>0.63888888888888895</v>
      </c>
      <c r="C21" s="532">
        <v>5</v>
      </c>
      <c r="D21" s="552" t="s">
        <v>840</v>
      </c>
      <c r="E21" s="537" t="s">
        <v>841</v>
      </c>
      <c r="F21" s="532"/>
      <c r="G21" s="532"/>
      <c r="I21" s="509"/>
      <c r="J21" s="549">
        <v>0.63888888888888895</v>
      </c>
      <c r="K21" s="526">
        <v>11</v>
      </c>
      <c r="L21" s="552" t="s">
        <v>842</v>
      </c>
      <c r="M21" s="552" t="s">
        <v>843</v>
      </c>
      <c r="N21" s="526"/>
      <c r="O21" s="526"/>
    </row>
    <row r="22" spans="2:15">
      <c r="B22" s="549"/>
      <c r="C22" s="553"/>
      <c r="D22" s="532"/>
      <c r="E22" s="546"/>
      <c r="F22" s="532"/>
      <c r="G22" s="532"/>
      <c r="I22" s="509"/>
      <c r="J22" s="549">
        <v>0.65277777777777801</v>
      </c>
      <c r="K22" s="532">
        <v>12</v>
      </c>
      <c r="L22" s="680" t="s">
        <v>844</v>
      </c>
      <c r="M22" s="680"/>
      <c r="N22" s="539"/>
      <c r="O22" s="532"/>
    </row>
    <row r="23" spans="2:15">
      <c r="B23" s="534"/>
      <c r="D23" s="117"/>
      <c r="E23" s="117"/>
      <c r="I23" s="509"/>
      <c r="J23" s="509"/>
      <c r="L23" s="508"/>
      <c r="M23" s="508"/>
    </row>
    <row r="24" spans="2:15">
      <c r="B24" s="534"/>
      <c r="D24" s="117"/>
      <c r="E24" s="117"/>
      <c r="I24" s="509"/>
      <c r="J24" s="509"/>
      <c r="L24" s="508"/>
      <c r="M24" s="508"/>
    </row>
    <row r="25" spans="2:15" ht="18" thickBot="1">
      <c r="B25" s="509"/>
      <c r="E25" s="521" t="s">
        <v>845</v>
      </c>
      <c r="F25" s="521"/>
      <c r="J25" s="509"/>
      <c r="L25" s="521" t="s">
        <v>846</v>
      </c>
      <c r="M25" s="521"/>
      <c r="N25" s="521"/>
    </row>
    <row r="26" spans="2:15" ht="18" thickTop="1">
      <c r="B26" s="509"/>
      <c r="C26" s="522" t="s">
        <v>372</v>
      </c>
      <c r="D26" s="523" t="s">
        <v>802</v>
      </c>
      <c r="E26" s="524" t="s">
        <v>803</v>
      </c>
      <c r="F26" s="524" t="s">
        <v>804</v>
      </c>
      <c r="G26" s="525"/>
      <c r="I26" s="509"/>
      <c r="J26" s="526" t="s">
        <v>805</v>
      </c>
      <c r="K26" s="526" t="s">
        <v>806</v>
      </c>
      <c r="L26" s="679" t="s">
        <v>847</v>
      </c>
      <c r="M26" s="679"/>
      <c r="N26" s="679"/>
      <c r="O26" s="679"/>
    </row>
    <row r="27" spans="2:15">
      <c r="B27" s="509"/>
      <c r="C27" s="527"/>
      <c r="D27" s="528" t="s">
        <v>808</v>
      </c>
      <c r="E27" s="529" t="s">
        <v>809</v>
      </c>
      <c r="F27" s="296" t="s">
        <v>810</v>
      </c>
      <c r="G27" s="530"/>
      <c r="I27" s="509"/>
      <c r="J27" s="531" t="s">
        <v>811</v>
      </c>
      <c r="K27" s="531" t="s">
        <v>812</v>
      </c>
      <c r="L27" s="532" t="s">
        <v>404</v>
      </c>
      <c r="M27" s="532"/>
      <c r="N27" s="533"/>
      <c r="O27" s="532"/>
    </row>
    <row r="28" spans="2:15">
      <c r="B28" s="534"/>
      <c r="C28" s="527"/>
      <c r="D28" s="528" t="s">
        <v>813</v>
      </c>
      <c r="E28" s="528" t="s">
        <v>814</v>
      </c>
      <c r="F28" s="535" t="s">
        <v>397</v>
      </c>
      <c r="G28" s="530"/>
      <c r="I28" s="509"/>
      <c r="J28" s="536">
        <v>0.375</v>
      </c>
      <c r="K28" s="532">
        <v>1</v>
      </c>
      <c r="L28" s="550" t="s">
        <v>848</v>
      </c>
      <c r="M28" s="554"/>
      <c r="N28" s="539"/>
      <c r="O28" s="540"/>
    </row>
    <row r="29" spans="2:15" ht="18" thickBot="1">
      <c r="B29" s="509"/>
      <c r="C29" s="541"/>
      <c r="D29" s="542" t="s">
        <v>817</v>
      </c>
      <c r="E29" s="543" t="s">
        <v>398</v>
      </c>
      <c r="F29" s="544" t="s">
        <v>818</v>
      </c>
      <c r="G29" s="545"/>
      <c r="I29" s="509"/>
      <c r="J29" s="536">
        <v>0.38888888888888901</v>
      </c>
      <c r="K29" s="532">
        <v>2</v>
      </c>
      <c r="L29" s="550" t="s">
        <v>849</v>
      </c>
      <c r="M29" s="540"/>
      <c r="N29" s="555"/>
      <c r="O29" s="546"/>
    </row>
    <row r="30" spans="2:15" ht="18" thickTop="1">
      <c r="B30" s="509"/>
      <c r="I30" s="509"/>
      <c r="J30" s="536">
        <v>0.40277777777777801</v>
      </c>
      <c r="K30" s="532">
        <v>3</v>
      </c>
      <c r="L30" s="537" t="s">
        <v>850</v>
      </c>
      <c r="M30" s="546"/>
      <c r="N30" s="540"/>
      <c r="O30" s="546"/>
    </row>
    <row r="31" spans="2:15">
      <c r="B31" s="509"/>
      <c r="I31" s="509"/>
      <c r="J31" s="536">
        <v>0.41666666666666702</v>
      </c>
      <c r="K31" s="526">
        <v>4</v>
      </c>
      <c r="L31" s="537" t="s">
        <v>851</v>
      </c>
      <c r="M31" s="540"/>
      <c r="N31" s="540"/>
      <c r="O31" s="546"/>
    </row>
    <row r="32" spans="2:15">
      <c r="B32" s="509"/>
      <c r="F32" s="508"/>
      <c r="I32" s="509"/>
      <c r="J32" s="549">
        <v>0.43055555555555602</v>
      </c>
      <c r="K32" s="532">
        <v>5</v>
      </c>
      <c r="L32" s="550" t="s">
        <v>852</v>
      </c>
      <c r="M32" s="546"/>
      <c r="N32" s="540"/>
      <c r="O32" s="546"/>
    </row>
    <row r="33" spans="2:15" ht="17.25" customHeight="1">
      <c r="B33" s="526" t="s">
        <v>805</v>
      </c>
      <c r="C33" s="526" t="s">
        <v>806</v>
      </c>
      <c r="D33" s="679" t="s">
        <v>847</v>
      </c>
      <c r="E33" s="679"/>
      <c r="F33" s="679"/>
      <c r="G33" s="679"/>
      <c r="I33" s="509"/>
      <c r="J33" s="536">
        <v>0.44444444444444398</v>
      </c>
      <c r="K33" s="532">
        <v>6</v>
      </c>
      <c r="L33" s="550" t="s">
        <v>853</v>
      </c>
      <c r="M33" s="556"/>
      <c r="N33" s="540"/>
      <c r="O33" s="546"/>
    </row>
    <row r="34" spans="2:15">
      <c r="B34" s="531" t="s">
        <v>811</v>
      </c>
      <c r="C34" s="531" t="s">
        <v>812</v>
      </c>
      <c r="D34" s="532" t="s">
        <v>404</v>
      </c>
      <c r="E34" s="532"/>
      <c r="F34" s="533"/>
      <c r="G34" s="532"/>
      <c r="I34" s="509"/>
      <c r="J34" s="677" t="s">
        <v>829</v>
      </c>
      <c r="K34" s="677"/>
      <c r="L34" s="677"/>
      <c r="M34" s="677"/>
      <c r="N34" s="677"/>
      <c r="O34" s="677"/>
    </row>
    <row r="35" spans="2:15">
      <c r="B35" s="549">
        <v>0.58333333333333304</v>
      </c>
      <c r="C35" s="532">
        <v>1</v>
      </c>
      <c r="D35" s="537" t="s">
        <v>854</v>
      </c>
      <c r="E35" s="540"/>
      <c r="F35" s="540"/>
      <c r="G35" s="540"/>
      <c r="I35" s="509"/>
      <c r="J35" s="549">
        <v>0.58333333333333304</v>
      </c>
      <c r="K35" s="532">
        <v>7</v>
      </c>
      <c r="L35" s="537" t="s">
        <v>855</v>
      </c>
      <c r="M35" s="540"/>
      <c r="N35" s="540"/>
      <c r="O35" s="546"/>
    </row>
    <row r="36" spans="2:15">
      <c r="B36" s="549">
        <v>0.59722222222222199</v>
      </c>
      <c r="C36" s="532">
        <v>2</v>
      </c>
      <c r="D36" s="537" t="s">
        <v>856</v>
      </c>
      <c r="E36" s="540"/>
      <c r="F36" s="540"/>
      <c r="G36" s="540"/>
      <c r="I36" s="509"/>
      <c r="J36" s="549">
        <v>0.59722222222222199</v>
      </c>
      <c r="K36" s="532">
        <v>8</v>
      </c>
      <c r="L36" s="537" t="s">
        <v>857</v>
      </c>
      <c r="M36" s="540"/>
      <c r="N36" s="540"/>
      <c r="O36" s="546"/>
    </row>
    <row r="37" spans="2:15">
      <c r="B37" s="549">
        <v>0.61111111111111105</v>
      </c>
      <c r="C37" s="532">
        <v>3</v>
      </c>
      <c r="D37" s="537" t="s">
        <v>858</v>
      </c>
      <c r="E37" s="540"/>
      <c r="F37" s="532"/>
      <c r="G37" s="532"/>
      <c r="I37" s="509"/>
      <c r="J37" s="549">
        <v>0.61111111111111105</v>
      </c>
      <c r="K37" s="532">
        <v>9</v>
      </c>
      <c r="L37" s="537" t="s">
        <v>859</v>
      </c>
      <c r="M37" s="540"/>
      <c r="N37" s="532"/>
      <c r="O37" s="532"/>
    </row>
    <row r="38" spans="2:15">
      <c r="B38" s="549">
        <v>0.625</v>
      </c>
      <c r="C38" s="532">
        <v>4</v>
      </c>
      <c r="D38" s="537" t="s">
        <v>860</v>
      </c>
      <c r="E38" s="532"/>
      <c r="F38" s="532"/>
      <c r="G38" s="532"/>
      <c r="I38" s="509"/>
      <c r="J38" s="549">
        <v>0.625</v>
      </c>
      <c r="K38" s="526">
        <v>10</v>
      </c>
      <c r="L38" s="537" t="s">
        <v>861</v>
      </c>
      <c r="M38" s="557"/>
      <c r="N38" s="526"/>
      <c r="O38" s="526"/>
    </row>
    <row r="39" spans="2:15">
      <c r="B39" s="549">
        <v>0.63888888888888895</v>
      </c>
      <c r="C39" s="532">
        <v>5</v>
      </c>
      <c r="D39" s="537" t="s">
        <v>862</v>
      </c>
      <c r="E39" s="540"/>
      <c r="F39" s="532"/>
      <c r="G39" s="532"/>
      <c r="I39" s="509"/>
      <c r="J39" s="549">
        <v>0.63888888888888895</v>
      </c>
      <c r="K39" s="532">
        <v>11</v>
      </c>
      <c r="L39" s="537" t="s">
        <v>863</v>
      </c>
      <c r="M39" s="539"/>
      <c r="N39" s="539"/>
      <c r="O39" s="532"/>
    </row>
    <row r="40" spans="2:15">
      <c r="B40" s="549">
        <v>0.65277777777777801</v>
      </c>
      <c r="C40" s="532">
        <v>6</v>
      </c>
      <c r="D40" s="537" t="s">
        <v>864</v>
      </c>
      <c r="E40" s="540"/>
      <c r="F40" s="532"/>
      <c r="G40" s="532"/>
      <c r="I40" s="509"/>
      <c r="J40" s="549">
        <v>0.65277777777777801</v>
      </c>
      <c r="K40" s="532">
        <v>12</v>
      </c>
      <c r="L40" s="537" t="s">
        <v>865</v>
      </c>
      <c r="M40" s="539"/>
      <c r="N40" s="539"/>
      <c r="O40" s="532"/>
    </row>
    <row r="41" spans="2:15">
      <c r="B41" s="534"/>
      <c r="D41" s="117"/>
      <c r="E41" s="117"/>
      <c r="I41" s="509"/>
      <c r="J41" s="509"/>
      <c r="L41" s="508"/>
      <c r="M41" s="508"/>
    </row>
    <row r="42" spans="2:15">
      <c r="B42" s="534"/>
      <c r="D42" s="117"/>
      <c r="E42" s="117"/>
      <c r="I42" s="509"/>
      <c r="J42" s="509"/>
      <c r="L42" s="508"/>
      <c r="M42" s="508"/>
    </row>
    <row r="43" spans="2:15" ht="18" thickBot="1">
      <c r="B43" s="509"/>
      <c r="E43" s="521" t="s">
        <v>866</v>
      </c>
      <c r="F43" s="521"/>
      <c r="I43" s="509"/>
      <c r="J43" s="509"/>
      <c r="L43" s="521" t="s">
        <v>867</v>
      </c>
      <c r="M43" s="521"/>
      <c r="N43" s="521"/>
    </row>
    <row r="44" spans="2:15" ht="18" thickTop="1">
      <c r="B44" s="509"/>
      <c r="C44" s="522" t="s">
        <v>372</v>
      </c>
      <c r="D44" s="523" t="s">
        <v>802</v>
      </c>
      <c r="E44" s="524" t="s">
        <v>803</v>
      </c>
      <c r="F44" s="524" t="s">
        <v>804</v>
      </c>
      <c r="G44" s="525"/>
      <c r="I44" s="509"/>
      <c r="J44" s="526" t="s">
        <v>805</v>
      </c>
      <c r="K44" s="526" t="s">
        <v>806</v>
      </c>
      <c r="L44" s="679" t="s">
        <v>847</v>
      </c>
      <c r="M44" s="679"/>
      <c r="N44" s="679"/>
      <c r="O44" s="679"/>
    </row>
    <row r="45" spans="2:15">
      <c r="B45" s="509"/>
      <c r="C45" s="527"/>
      <c r="D45" s="528" t="s">
        <v>808</v>
      </c>
      <c r="E45" s="529" t="s">
        <v>809</v>
      </c>
      <c r="F45" s="296" t="s">
        <v>810</v>
      </c>
      <c r="G45" s="530"/>
      <c r="I45" s="509"/>
      <c r="J45" s="531" t="s">
        <v>811</v>
      </c>
      <c r="K45" s="531" t="s">
        <v>812</v>
      </c>
      <c r="L45" s="526" t="s">
        <v>404</v>
      </c>
      <c r="M45" s="532"/>
      <c r="N45" s="533"/>
      <c r="O45" s="532"/>
    </row>
    <row r="46" spans="2:15">
      <c r="B46" s="534"/>
      <c r="C46" s="527"/>
      <c r="D46" s="528" t="s">
        <v>813</v>
      </c>
      <c r="E46" s="528" t="s">
        <v>814</v>
      </c>
      <c r="F46" s="535" t="s">
        <v>397</v>
      </c>
      <c r="G46" s="530"/>
      <c r="I46" s="509"/>
      <c r="J46" s="536">
        <v>0.375</v>
      </c>
      <c r="K46" s="553">
        <v>1</v>
      </c>
      <c r="L46" s="537" t="s">
        <v>868</v>
      </c>
      <c r="M46" s="554"/>
      <c r="N46" s="539"/>
      <c r="O46" s="540"/>
    </row>
    <row r="47" spans="2:15" ht="18" thickBot="1">
      <c r="B47" s="509"/>
      <c r="C47" s="541"/>
      <c r="D47" s="542" t="s">
        <v>817</v>
      </c>
      <c r="E47" s="543" t="s">
        <v>398</v>
      </c>
      <c r="F47" s="544" t="s">
        <v>818</v>
      </c>
      <c r="G47" s="545"/>
      <c r="I47" s="509"/>
      <c r="J47" s="536">
        <v>0.38888888888888901</v>
      </c>
      <c r="K47" s="553">
        <v>2</v>
      </c>
      <c r="L47" s="537" t="s">
        <v>869</v>
      </c>
      <c r="M47" s="546"/>
      <c r="N47" s="540"/>
      <c r="O47" s="546"/>
    </row>
    <row r="48" spans="2:15" ht="18" thickTop="1">
      <c r="B48" s="509"/>
      <c r="I48" s="509"/>
      <c r="J48" s="536">
        <v>0.40277777777777801</v>
      </c>
      <c r="K48" s="553">
        <v>3</v>
      </c>
      <c r="L48" s="537" t="s">
        <v>870</v>
      </c>
      <c r="M48" s="546"/>
      <c r="N48" s="540"/>
      <c r="O48" s="546"/>
    </row>
    <row r="49" spans="2:15">
      <c r="B49" s="509"/>
      <c r="I49" s="509"/>
      <c r="J49" s="536">
        <v>0.41666666666666702</v>
      </c>
      <c r="K49" s="526">
        <v>4</v>
      </c>
      <c r="L49" s="558" t="s">
        <v>871</v>
      </c>
      <c r="M49" s="540"/>
      <c r="N49" s="540"/>
      <c r="O49" s="546"/>
    </row>
    <row r="50" spans="2:15">
      <c r="B50" s="509"/>
      <c r="F50" s="508"/>
      <c r="I50" s="509"/>
      <c r="J50" s="549"/>
      <c r="K50" s="532"/>
      <c r="L50" s="532"/>
      <c r="M50" s="546"/>
      <c r="N50" s="540"/>
      <c r="O50" s="546"/>
    </row>
    <row r="51" spans="2:15" ht="17.25" customHeight="1">
      <c r="B51" s="526" t="s">
        <v>805</v>
      </c>
      <c r="C51" s="526" t="s">
        <v>806</v>
      </c>
      <c r="D51" s="679" t="s">
        <v>847</v>
      </c>
      <c r="E51" s="679"/>
      <c r="F51" s="679"/>
      <c r="G51" s="679"/>
      <c r="I51" s="509"/>
      <c r="J51" s="677" t="s">
        <v>829</v>
      </c>
      <c r="K51" s="677"/>
      <c r="L51" s="677"/>
      <c r="M51" s="677"/>
      <c r="N51" s="677"/>
      <c r="O51" s="677"/>
    </row>
    <row r="52" spans="2:15">
      <c r="B52" s="531" t="s">
        <v>811</v>
      </c>
      <c r="C52" s="531" t="s">
        <v>812</v>
      </c>
      <c r="D52" s="532" t="s">
        <v>404</v>
      </c>
      <c r="E52" s="532"/>
      <c r="F52" s="533"/>
      <c r="G52" s="532"/>
      <c r="I52" s="509"/>
      <c r="J52" s="536">
        <v>0.5625</v>
      </c>
      <c r="K52" s="553">
        <v>5</v>
      </c>
      <c r="L52" s="537" t="s">
        <v>872</v>
      </c>
      <c r="M52" s="556"/>
      <c r="N52" s="540"/>
      <c r="O52" s="546"/>
    </row>
    <row r="53" spans="2:15">
      <c r="B53" s="549">
        <v>0.58333333333333304</v>
      </c>
      <c r="C53" s="532">
        <v>1</v>
      </c>
      <c r="D53" s="550" t="s">
        <v>873</v>
      </c>
      <c r="E53" s="540"/>
      <c r="F53" s="540"/>
      <c r="G53" s="540"/>
      <c r="I53" s="509"/>
      <c r="J53" s="536">
        <v>0.57638888888888895</v>
      </c>
      <c r="K53" s="532">
        <v>6</v>
      </c>
      <c r="L53" s="558" t="s">
        <v>874</v>
      </c>
      <c r="M53" s="540"/>
      <c r="N53" s="540"/>
      <c r="O53" s="546"/>
    </row>
    <row r="54" spans="2:15">
      <c r="B54" s="549">
        <v>0.59722222222222199</v>
      </c>
      <c r="C54" s="532">
        <v>2</v>
      </c>
      <c r="D54" s="550" t="s">
        <v>875</v>
      </c>
      <c r="E54" s="540"/>
      <c r="F54" s="540"/>
      <c r="G54" s="540"/>
      <c r="I54" s="509"/>
      <c r="J54" s="536">
        <v>0.59027777777777801</v>
      </c>
      <c r="K54" s="532">
        <v>7</v>
      </c>
      <c r="L54" s="559" t="s">
        <v>876</v>
      </c>
      <c r="M54" s="540"/>
      <c r="N54" s="540"/>
      <c r="O54" s="546"/>
    </row>
    <row r="55" spans="2:15">
      <c r="B55" s="549">
        <v>0.61111111111111105</v>
      </c>
      <c r="C55" s="532">
        <v>3</v>
      </c>
      <c r="D55" s="550" t="s">
        <v>877</v>
      </c>
      <c r="E55" s="540"/>
      <c r="F55" s="532"/>
      <c r="G55" s="532"/>
      <c r="I55" s="509"/>
      <c r="J55" s="549">
        <v>0.60416666666666696</v>
      </c>
      <c r="K55" s="532">
        <v>8</v>
      </c>
      <c r="L55" s="559" t="s">
        <v>878</v>
      </c>
      <c r="M55" s="540"/>
      <c r="N55" s="532"/>
      <c r="O55" s="532"/>
    </row>
    <row r="56" spans="2:15">
      <c r="B56" s="549">
        <v>0.625</v>
      </c>
      <c r="C56" s="532">
        <v>4</v>
      </c>
      <c r="D56" s="550" t="s">
        <v>879</v>
      </c>
      <c r="E56" s="532"/>
      <c r="F56" s="532"/>
      <c r="G56" s="532"/>
      <c r="I56" s="509"/>
      <c r="J56" s="549"/>
      <c r="K56" s="532"/>
      <c r="L56" s="540"/>
      <c r="M56" s="540"/>
      <c r="N56" s="532"/>
      <c r="O56" s="532"/>
    </row>
    <row r="57" spans="2:15">
      <c r="B57" s="549"/>
      <c r="C57" s="532"/>
      <c r="D57" s="532"/>
      <c r="E57" s="540"/>
      <c r="F57" s="532"/>
      <c r="G57" s="532"/>
      <c r="I57" s="509"/>
      <c r="J57" s="509"/>
      <c r="L57" s="508"/>
      <c r="M57" s="508"/>
    </row>
    <row r="58" spans="2:15">
      <c r="B58" s="549"/>
      <c r="C58" s="532"/>
      <c r="D58" s="540"/>
      <c r="E58" s="540"/>
      <c r="F58" s="532"/>
      <c r="G58" s="532"/>
      <c r="I58" s="509"/>
      <c r="J58" s="509"/>
      <c r="L58" s="508"/>
      <c r="M58" s="508"/>
    </row>
    <row r="59" spans="2:15">
      <c r="B59" s="534"/>
      <c r="D59" s="117"/>
      <c r="E59" s="117"/>
      <c r="I59" s="509"/>
      <c r="J59" s="509"/>
      <c r="L59" s="508"/>
      <c r="M59" s="508"/>
    </row>
    <row r="60" spans="2:15">
      <c r="B60" s="509"/>
      <c r="I60" s="509"/>
      <c r="J60" s="509"/>
      <c r="L60" s="508"/>
      <c r="M60" s="508"/>
    </row>
    <row r="61" spans="2:15">
      <c r="B61" s="509"/>
      <c r="C61" s="560"/>
      <c r="L61" s="508"/>
      <c r="M61" s="508"/>
    </row>
    <row r="62" spans="2:15" ht="18" thickBot="1">
      <c r="B62" s="509"/>
      <c r="E62" s="521" t="s">
        <v>880</v>
      </c>
      <c r="F62" s="521"/>
      <c r="I62" s="509"/>
      <c r="J62" s="509"/>
      <c r="L62" s="521" t="s">
        <v>881</v>
      </c>
      <c r="M62" s="521"/>
      <c r="N62" s="521"/>
    </row>
    <row r="63" spans="2:15" ht="18" thickTop="1">
      <c r="B63" s="509"/>
      <c r="C63" s="522" t="s">
        <v>372</v>
      </c>
      <c r="D63" s="523" t="s">
        <v>802</v>
      </c>
      <c r="E63" s="524" t="s">
        <v>803</v>
      </c>
      <c r="F63" s="524" t="s">
        <v>804</v>
      </c>
      <c r="G63" s="525"/>
      <c r="I63" s="509"/>
      <c r="J63" s="526" t="s">
        <v>805</v>
      </c>
      <c r="K63" s="526" t="s">
        <v>806</v>
      </c>
      <c r="L63" s="676" t="s">
        <v>807</v>
      </c>
      <c r="M63" s="676"/>
      <c r="N63" s="676"/>
      <c r="O63" s="676"/>
    </row>
    <row r="64" spans="2:15">
      <c r="B64" s="509"/>
      <c r="C64" s="527"/>
      <c r="D64" s="528" t="s">
        <v>808</v>
      </c>
      <c r="E64" s="529" t="s">
        <v>809</v>
      </c>
      <c r="F64" s="296" t="s">
        <v>810</v>
      </c>
      <c r="G64" s="530"/>
      <c r="I64" s="509"/>
      <c r="J64" s="531" t="s">
        <v>811</v>
      </c>
      <c r="K64" s="531" t="s">
        <v>812</v>
      </c>
      <c r="L64" s="532" t="s">
        <v>404</v>
      </c>
      <c r="M64" s="526" t="s">
        <v>444</v>
      </c>
      <c r="N64" s="533"/>
      <c r="O64" s="532"/>
    </row>
    <row r="65" spans="2:15">
      <c r="B65" s="534"/>
      <c r="C65" s="527"/>
      <c r="D65" s="528" t="s">
        <v>813</v>
      </c>
      <c r="E65" s="528" t="s">
        <v>814</v>
      </c>
      <c r="F65" s="535" t="s">
        <v>397</v>
      </c>
      <c r="G65" s="530"/>
      <c r="I65" s="509"/>
      <c r="J65" s="536">
        <v>0.375</v>
      </c>
      <c r="K65" s="532">
        <v>1</v>
      </c>
      <c r="L65" s="559" t="s">
        <v>882</v>
      </c>
      <c r="M65" s="532"/>
      <c r="N65" s="561"/>
      <c r="O65" s="540"/>
    </row>
    <row r="66" spans="2:15" ht="18" thickBot="1">
      <c r="B66" s="509"/>
      <c r="C66" s="541"/>
      <c r="D66" s="542" t="s">
        <v>817</v>
      </c>
      <c r="E66" s="543" t="s">
        <v>398</v>
      </c>
      <c r="F66" s="544" t="s">
        <v>818</v>
      </c>
      <c r="G66" s="545"/>
      <c r="I66" s="509"/>
      <c r="J66" s="536">
        <v>0.38888888888888901</v>
      </c>
      <c r="K66" s="532">
        <v>2</v>
      </c>
      <c r="L66" s="559" t="s">
        <v>883</v>
      </c>
      <c r="M66" s="532"/>
      <c r="N66" s="546"/>
      <c r="O66" s="546"/>
    </row>
    <row r="67" spans="2:15" ht="18" thickTop="1">
      <c r="B67" s="509"/>
      <c r="I67" s="509"/>
      <c r="J67" s="536">
        <v>0.40277777777777801</v>
      </c>
      <c r="K67" s="532">
        <v>3</v>
      </c>
      <c r="L67" s="559" t="s">
        <v>884</v>
      </c>
      <c r="M67" s="532"/>
      <c r="N67" s="546"/>
      <c r="O67" s="546"/>
    </row>
    <row r="68" spans="2:15">
      <c r="B68" s="509"/>
      <c r="I68" s="509"/>
      <c r="J68" s="536">
        <v>0.41666666666666702</v>
      </c>
      <c r="K68" s="526">
        <v>4</v>
      </c>
      <c r="L68" s="559" t="s">
        <v>885</v>
      </c>
      <c r="M68" s="532"/>
      <c r="N68" s="546"/>
      <c r="O68" s="546"/>
    </row>
    <row r="69" spans="2:15">
      <c r="B69" s="509"/>
      <c r="F69" s="508"/>
      <c r="I69" s="509"/>
      <c r="J69" s="549"/>
      <c r="K69" s="532"/>
      <c r="L69" s="532"/>
      <c r="M69" s="562"/>
      <c r="N69" s="540"/>
      <c r="O69" s="546"/>
    </row>
    <row r="70" spans="2:15">
      <c r="B70" s="526" t="s">
        <v>805</v>
      </c>
      <c r="C70" s="526" t="s">
        <v>806</v>
      </c>
      <c r="D70" s="676" t="s">
        <v>807</v>
      </c>
      <c r="E70" s="676"/>
      <c r="F70" s="676"/>
      <c r="G70" s="676"/>
      <c r="I70" s="509"/>
      <c r="J70" s="677" t="s">
        <v>829</v>
      </c>
      <c r="K70" s="677"/>
      <c r="L70" s="677"/>
      <c r="M70" s="677"/>
      <c r="N70" s="677"/>
      <c r="O70" s="677"/>
    </row>
    <row r="71" spans="2:15">
      <c r="B71" s="531" t="s">
        <v>811</v>
      </c>
      <c r="C71" s="531" t="s">
        <v>812</v>
      </c>
      <c r="D71" s="532" t="s">
        <v>404</v>
      </c>
      <c r="E71" s="532" t="s">
        <v>444</v>
      </c>
      <c r="F71" s="533"/>
      <c r="G71" s="532"/>
      <c r="I71" s="509"/>
      <c r="J71" s="536">
        <v>0.5625</v>
      </c>
      <c r="K71" s="532">
        <v>5</v>
      </c>
      <c r="L71" s="559" t="s">
        <v>886</v>
      </c>
      <c r="M71" s="532"/>
      <c r="N71" s="546"/>
      <c r="O71" s="546"/>
    </row>
    <row r="72" spans="2:15">
      <c r="B72" s="549">
        <v>0.58333333333333304</v>
      </c>
      <c r="C72" s="532">
        <v>1</v>
      </c>
      <c r="D72" s="537" t="s">
        <v>887</v>
      </c>
      <c r="E72" s="537" t="s">
        <v>888</v>
      </c>
      <c r="F72" s="540"/>
      <c r="G72" s="540"/>
      <c r="I72" s="509"/>
      <c r="J72" s="536">
        <v>0.57638888888888895</v>
      </c>
      <c r="K72" s="532">
        <v>6</v>
      </c>
      <c r="L72" s="559" t="s">
        <v>889</v>
      </c>
      <c r="M72" s="532"/>
      <c r="N72" s="546"/>
      <c r="O72" s="546"/>
    </row>
    <row r="73" spans="2:15">
      <c r="B73" s="549">
        <v>0.59722222222222199</v>
      </c>
      <c r="C73" s="532">
        <v>2</v>
      </c>
      <c r="D73" s="537" t="s">
        <v>890</v>
      </c>
      <c r="E73" s="537" t="s">
        <v>891</v>
      </c>
      <c r="F73" s="540"/>
      <c r="G73" s="540"/>
      <c r="I73" s="509"/>
      <c r="J73" s="536">
        <v>0.59027777777777801</v>
      </c>
      <c r="K73" s="532">
        <v>7</v>
      </c>
      <c r="L73" s="559" t="s">
        <v>892</v>
      </c>
      <c r="M73" s="532"/>
      <c r="N73" s="546"/>
      <c r="O73" s="546"/>
    </row>
    <row r="74" spans="2:15">
      <c r="B74" s="549">
        <v>0.61111111111111105</v>
      </c>
      <c r="C74" s="532">
        <v>3</v>
      </c>
      <c r="D74" s="537" t="s">
        <v>893</v>
      </c>
      <c r="E74" s="537" t="s">
        <v>894</v>
      </c>
      <c r="F74" s="532"/>
      <c r="G74" s="532"/>
      <c r="I74" s="509"/>
      <c r="J74" s="549">
        <v>0.60416666666666696</v>
      </c>
      <c r="K74" s="532">
        <v>8</v>
      </c>
      <c r="L74" s="559" t="s">
        <v>895</v>
      </c>
      <c r="M74" s="532"/>
      <c r="N74" s="563"/>
      <c r="O74" s="532"/>
    </row>
    <row r="75" spans="2:15">
      <c r="B75" s="549">
        <v>0.625</v>
      </c>
      <c r="C75" s="532">
        <v>4</v>
      </c>
      <c r="D75" s="537" t="s">
        <v>896</v>
      </c>
      <c r="E75" s="537" t="s">
        <v>897</v>
      </c>
      <c r="F75" s="532"/>
      <c r="G75" s="532"/>
      <c r="I75" s="509"/>
      <c r="J75" s="534"/>
      <c r="K75" s="509"/>
      <c r="M75" s="117"/>
      <c r="N75" s="509"/>
    </row>
    <row r="76" spans="2:15" ht="16.5" customHeight="1">
      <c r="B76" s="549">
        <v>0.63888888888888895</v>
      </c>
      <c r="C76" s="532">
        <v>5</v>
      </c>
      <c r="D76" s="550" t="s">
        <v>898</v>
      </c>
      <c r="E76" s="550" t="s">
        <v>899</v>
      </c>
      <c r="F76" s="532"/>
      <c r="G76" s="532"/>
      <c r="I76" s="509"/>
      <c r="J76" s="509"/>
      <c r="L76" s="508"/>
      <c r="M76" s="508"/>
    </row>
    <row r="77" spans="2:15">
      <c r="B77" s="549">
        <v>0.65277777777777801</v>
      </c>
      <c r="C77" s="532">
        <v>6</v>
      </c>
      <c r="D77" s="537" t="s">
        <v>900</v>
      </c>
      <c r="E77" s="537" t="s">
        <v>901</v>
      </c>
      <c r="F77" s="532"/>
      <c r="G77" s="532"/>
      <c r="I77" s="509"/>
      <c r="J77" s="509"/>
      <c r="L77" s="508"/>
      <c r="M77" s="508"/>
    </row>
    <row r="78" spans="2:15">
      <c r="B78" s="534"/>
      <c r="D78" s="117"/>
      <c r="E78" s="117"/>
      <c r="I78" s="509"/>
      <c r="J78" s="509"/>
      <c r="L78" s="508"/>
      <c r="M78" s="508"/>
    </row>
    <row r="79" spans="2:15">
      <c r="B79" s="534"/>
      <c r="D79" s="117"/>
      <c r="E79" s="117"/>
      <c r="I79" s="509"/>
      <c r="J79" s="509"/>
      <c r="L79" s="508"/>
      <c r="M79" s="508"/>
    </row>
    <row r="80" spans="2:15">
      <c r="B80" s="509"/>
      <c r="C80" s="560"/>
      <c r="L80" s="508"/>
      <c r="M80" s="508"/>
    </row>
    <row r="81" spans="1:15" ht="18" thickBot="1">
      <c r="A81" s="508" t="s">
        <v>0</v>
      </c>
      <c r="B81" s="509"/>
      <c r="E81" s="521" t="s">
        <v>902</v>
      </c>
      <c r="F81" s="521"/>
      <c r="I81" s="509"/>
      <c r="J81" s="509"/>
      <c r="L81" s="521" t="s">
        <v>903</v>
      </c>
      <c r="M81" s="521"/>
      <c r="N81" s="521"/>
    </row>
    <row r="82" spans="1:15" ht="18" thickTop="1">
      <c r="B82" s="509"/>
      <c r="C82" s="522" t="s">
        <v>372</v>
      </c>
      <c r="D82" s="523" t="s">
        <v>802</v>
      </c>
      <c r="E82" s="524" t="s">
        <v>803</v>
      </c>
      <c r="F82" s="524" t="s">
        <v>804</v>
      </c>
      <c r="G82" s="525"/>
      <c r="I82" s="509"/>
      <c r="J82" s="526" t="s">
        <v>805</v>
      </c>
      <c r="K82" s="526" t="s">
        <v>806</v>
      </c>
      <c r="L82" s="676" t="s">
        <v>807</v>
      </c>
      <c r="M82" s="676"/>
      <c r="N82" s="676"/>
      <c r="O82" s="676"/>
    </row>
    <row r="83" spans="1:15">
      <c r="B83" s="509"/>
      <c r="C83" s="527"/>
      <c r="D83" s="528" t="s">
        <v>808</v>
      </c>
      <c r="E83" s="529" t="s">
        <v>809</v>
      </c>
      <c r="F83" s="296" t="s">
        <v>810</v>
      </c>
      <c r="G83" s="530"/>
      <c r="I83" s="509"/>
      <c r="J83" s="531" t="s">
        <v>811</v>
      </c>
      <c r="K83" s="531" t="s">
        <v>812</v>
      </c>
      <c r="L83" s="532" t="s">
        <v>404</v>
      </c>
      <c r="M83" s="526"/>
      <c r="N83" s="533"/>
      <c r="O83" s="532"/>
    </row>
    <row r="84" spans="1:15">
      <c r="B84" s="534"/>
      <c r="C84" s="527"/>
      <c r="D84" s="528" t="s">
        <v>813</v>
      </c>
      <c r="E84" s="528" t="s">
        <v>814</v>
      </c>
      <c r="F84" s="535" t="s">
        <v>397</v>
      </c>
      <c r="G84" s="530"/>
      <c r="I84" s="509"/>
      <c r="J84" s="536">
        <v>0.375</v>
      </c>
      <c r="K84" s="532">
        <v>1</v>
      </c>
      <c r="L84" s="559" t="s">
        <v>904</v>
      </c>
      <c r="M84" s="532"/>
      <c r="N84" s="561"/>
      <c r="O84" s="540"/>
    </row>
    <row r="85" spans="1:15" ht="18" thickBot="1">
      <c r="B85" s="509"/>
      <c r="C85" s="541"/>
      <c r="D85" s="542" t="s">
        <v>817</v>
      </c>
      <c r="E85" s="543" t="s">
        <v>398</v>
      </c>
      <c r="F85" s="544" t="s">
        <v>818</v>
      </c>
      <c r="G85" s="545"/>
      <c r="I85" s="509"/>
      <c r="J85" s="536">
        <v>0.38888888888888901</v>
      </c>
      <c r="K85" s="532">
        <v>2</v>
      </c>
      <c r="L85" s="559" t="s">
        <v>905</v>
      </c>
      <c r="M85" s="532"/>
      <c r="N85" s="546"/>
      <c r="O85" s="546"/>
    </row>
    <row r="86" spans="1:15" ht="18" thickTop="1">
      <c r="B86" s="509"/>
      <c r="I86" s="509"/>
      <c r="J86" s="536">
        <v>0.40277777777777801</v>
      </c>
      <c r="K86" s="532">
        <v>3</v>
      </c>
      <c r="L86" s="559" t="s">
        <v>906</v>
      </c>
      <c r="M86" s="532"/>
      <c r="N86" s="546"/>
      <c r="O86" s="546"/>
    </row>
    <row r="87" spans="1:15">
      <c r="B87" s="509"/>
      <c r="I87" s="509"/>
      <c r="J87" s="536">
        <v>0.41666666666666702</v>
      </c>
      <c r="K87" s="526">
        <v>4</v>
      </c>
      <c r="L87" s="559" t="s">
        <v>907</v>
      </c>
      <c r="M87" s="532"/>
      <c r="N87" s="546"/>
      <c r="O87" s="546"/>
    </row>
    <row r="88" spans="1:15">
      <c r="B88" s="509"/>
      <c r="F88" s="508"/>
      <c r="I88" s="509"/>
      <c r="J88" s="549"/>
      <c r="K88" s="532"/>
      <c r="L88" s="564"/>
      <c r="M88" s="532"/>
      <c r="N88" s="546"/>
      <c r="O88" s="546"/>
    </row>
    <row r="89" spans="1:15" ht="17.25" customHeight="1">
      <c r="B89" s="526" t="s">
        <v>805</v>
      </c>
      <c r="C89" s="526" t="s">
        <v>806</v>
      </c>
      <c r="D89" s="676" t="s">
        <v>807</v>
      </c>
      <c r="E89" s="676"/>
      <c r="F89" s="676"/>
      <c r="G89" s="676"/>
      <c r="I89" s="509"/>
      <c r="J89" s="677" t="s">
        <v>829</v>
      </c>
      <c r="K89" s="677"/>
      <c r="L89" s="677"/>
      <c r="M89" s="677"/>
      <c r="N89" s="677"/>
      <c r="O89" s="677"/>
    </row>
    <row r="90" spans="1:15">
      <c r="B90" s="531" t="s">
        <v>811</v>
      </c>
      <c r="C90" s="531" t="s">
        <v>812</v>
      </c>
      <c r="D90" s="532" t="s">
        <v>404</v>
      </c>
      <c r="E90" s="532" t="s">
        <v>444</v>
      </c>
      <c r="F90" s="533"/>
      <c r="G90" s="532"/>
      <c r="J90" s="536">
        <v>0.5625</v>
      </c>
      <c r="K90" s="532">
        <v>5</v>
      </c>
      <c r="L90" s="559" t="s">
        <v>908</v>
      </c>
      <c r="M90" s="532"/>
      <c r="N90" s="546"/>
      <c r="O90" s="546"/>
    </row>
    <row r="91" spans="1:15">
      <c r="B91" s="549">
        <v>0.58333333333333304</v>
      </c>
      <c r="C91" s="532">
        <v>1</v>
      </c>
      <c r="D91" s="550" t="s">
        <v>909</v>
      </c>
      <c r="E91" s="550" t="s">
        <v>910</v>
      </c>
      <c r="F91" s="532"/>
      <c r="G91" s="532"/>
      <c r="J91" s="536">
        <v>0.57638888888888895</v>
      </c>
      <c r="K91" s="532">
        <v>6</v>
      </c>
      <c r="L91" s="559" t="s">
        <v>911</v>
      </c>
      <c r="M91" s="532"/>
      <c r="N91" s="546"/>
      <c r="O91" s="546"/>
    </row>
    <row r="92" spans="1:15">
      <c r="B92" s="549">
        <v>0.59722222222222199</v>
      </c>
      <c r="C92" s="532">
        <v>2</v>
      </c>
      <c r="D92" s="550" t="s">
        <v>912</v>
      </c>
      <c r="E92" s="550" t="s">
        <v>913</v>
      </c>
      <c r="F92" s="532"/>
      <c r="G92" s="532"/>
      <c r="J92" s="536">
        <v>0.59027777777777801</v>
      </c>
      <c r="K92" s="532">
        <v>7</v>
      </c>
      <c r="L92" s="559" t="s">
        <v>914</v>
      </c>
      <c r="M92" s="532"/>
      <c r="N92" s="546"/>
      <c r="O92" s="546"/>
    </row>
    <row r="93" spans="1:15">
      <c r="B93" s="549">
        <v>0.61111111111111105</v>
      </c>
      <c r="C93" s="532">
        <v>3</v>
      </c>
      <c r="D93" s="550" t="s">
        <v>915</v>
      </c>
      <c r="E93" s="550" t="s">
        <v>916</v>
      </c>
      <c r="F93" s="532"/>
      <c r="G93" s="532"/>
      <c r="J93" s="549">
        <v>0.60416666666666696</v>
      </c>
      <c r="K93" s="532">
        <v>8</v>
      </c>
      <c r="L93" s="559" t="s">
        <v>917</v>
      </c>
      <c r="M93" s="533"/>
      <c r="N93" s="532"/>
      <c r="O93" s="532"/>
    </row>
    <row r="94" spans="1:15">
      <c r="B94" s="549">
        <v>0.625</v>
      </c>
      <c r="C94" s="532">
        <v>4</v>
      </c>
      <c r="D94" s="550" t="s">
        <v>918</v>
      </c>
      <c r="E94" s="550" t="s">
        <v>919</v>
      </c>
      <c r="F94" s="532"/>
      <c r="G94" s="532"/>
      <c r="I94" s="509"/>
      <c r="J94" s="534"/>
      <c r="K94" s="509"/>
      <c r="M94" s="117"/>
      <c r="N94" s="509"/>
    </row>
    <row r="95" spans="1:15">
      <c r="B95" s="549"/>
      <c r="C95" s="532"/>
      <c r="D95" s="532"/>
      <c r="E95" s="540"/>
      <c r="F95" s="532"/>
      <c r="G95" s="532"/>
      <c r="I95" s="509"/>
      <c r="J95" s="509"/>
      <c r="L95" s="508"/>
      <c r="M95" s="508"/>
    </row>
    <row r="96" spans="1:15">
      <c r="B96" s="549"/>
      <c r="C96" s="532"/>
      <c r="D96" s="540"/>
      <c r="E96" s="540"/>
      <c r="F96" s="532"/>
      <c r="G96" s="532"/>
      <c r="I96" s="509"/>
      <c r="J96" s="509"/>
      <c r="L96" s="508"/>
      <c r="M96" s="508"/>
    </row>
    <row r="97" spans="2:15">
      <c r="B97" s="509"/>
      <c r="C97" s="560"/>
      <c r="L97" s="508"/>
      <c r="M97" s="508"/>
    </row>
    <row r="98" spans="2:15" ht="16.5" customHeight="1">
      <c r="B98" s="509"/>
      <c r="C98" s="560"/>
      <c r="L98" s="508"/>
      <c r="M98" s="508"/>
    </row>
    <row r="99" spans="2:15">
      <c r="B99" s="509"/>
      <c r="C99" s="560"/>
      <c r="L99" s="508"/>
      <c r="M99" s="508"/>
    </row>
    <row r="100" spans="2:15" ht="18" thickBot="1">
      <c r="B100" s="509"/>
      <c r="E100" s="521" t="s">
        <v>920</v>
      </c>
      <c r="F100" s="521"/>
      <c r="I100" s="509"/>
      <c r="J100" s="509"/>
      <c r="L100" s="565" t="s">
        <v>921</v>
      </c>
      <c r="M100" s="565"/>
      <c r="N100" s="565"/>
    </row>
    <row r="101" spans="2:15" ht="18" thickTop="1">
      <c r="B101" s="509"/>
      <c r="C101" s="522" t="s">
        <v>372</v>
      </c>
      <c r="D101" s="523" t="s">
        <v>802</v>
      </c>
      <c r="E101" s="524" t="s">
        <v>803</v>
      </c>
      <c r="F101" s="524" t="s">
        <v>804</v>
      </c>
      <c r="G101" s="525"/>
      <c r="I101" s="509"/>
      <c r="J101" s="566" t="s">
        <v>805</v>
      </c>
      <c r="K101" s="566" t="s">
        <v>806</v>
      </c>
      <c r="L101" s="678" t="s">
        <v>807</v>
      </c>
      <c r="M101" s="678"/>
      <c r="N101" s="678"/>
      <c r="O101" s="678"/>
    </row>
    <row r="102" spans="2:15" ht="16.350000000000001" customHeight="1">
      <c r="B102" s="509"/>
      <c r="C102" s="527"/>
      <c r="D102" s="528" t="s">
        <v>808</v>
      </c>
      <c r="E102" s="529" t="s">
        <v>809</v>
      </c>
      <c r="F102" s="296" t="s">
        <v>810</v>
      </c>
      <c r="G102" s="530"/>
      <c r="I102" s="509"/>
      <c r="J102" s="567" t="s">
        <v>811</v>
      </c>
      <c r="K102" s="567" t="s">
        <v>812</v>
      </c>
      <c r="L102" s="566" t="s">
        <v>404</v>
      </c>
      <c r="M102" s="568" t="s">
        <v>444</v>
      </c>
      <c r="N102" s="569"/>
      <c r="O102" s="570"/>
    </row>
    <row r="103" spans="2:15" ht="16.350000000000001" customHeight="1">
      <c r="B103" s="534"/>
      <c r="C103" s="527"/>
      <c r="D103" s="528" t="s">
        <v>813</v>
      </c>
      <c r="E103" s="528" t="s">
        <v>814</v>
      </c>
      <c r="F103" s="535" t="s">
        <v>397</v>
      </c>
      <c r="G103" s="530"/>
      <c r="I103" s="509"/>
      <c r="J103" s="571">
        <v>0.375</v>
      </c>
      <c r="K103" s="572">
        <v>1</v>
      </c>
      <c r="L103" s="550" t="s">
        <v>922</v>
      </c>
      <c r="M103" s="569"/>
      <c r="N103" s="573"/>
      <c r="O103" s="574"/>
    </row>
    <row r="104" spans="2:15" ht="16.350000000000001" customHeight="1" thickBot="1">
      <c r="B104" s="509"/>
      <c r="C104" s="541"/>
      <c r="D104" s="542" t="s">
        <v>817</v>
      </c>
      <c r="E104" s="543" t="s">
        <v>398</v>
      </c>
      <c r="F104" s="544" t="s">
        <v>818</v>
      </c>
      <c r="G104" s="545"/>
      <c r="I104" s="509"/>
      <c r="J104" s="571">
        <v>0.38888888888888901</v>
      </c>
      <c r="K104" s="572">
        <v>2</v>
      </c>
      <c r="L104" s="550" t="s">
        <v>923</v>
      </c>
      <c r="M104" s="569"/>
      <c r="N104" s="575"/>
      <c r="O104" s="575"/>
    </row>
    <row r="105" spans="2:15" ht="16.350000000000001" customHeight="1" thickTop="1">
      <c r="B105" s="509"/>
      <c r="I105" s="509"/>
      <c r="J105" s="571">
        <v>0.40277777777777801</v>
      </c>
      <c r="K105" s="572">
        <v>3</v>
      </c>
      <c r="L105" s="537" t="s">
        <v>924</v>
      </c>
      <c r="M105" s="569"/>
      <c r="N105" s="575"/>
      <c r="O105" s="575"/>
    </row>
    <row r="106" spans="2:15" ht="16.350000000000001" customHeight="1">
      <c r="B106" s="509"/>
      <c r="I106" s="509"/>
      <c r="J106" s="571">
        <v>0.41666666666666702</v>
      </c>
      <c r="K106" s="568">
        <v>4</v>
      </c>
      <c r="L106" s="537" t="s">
        <v>925</v>
      </c>
      <c r="M106" s="569"/>
      <c r="N106" s="576"/>
      <c r="O106" s="576"/>
    </row>
    <row r="107" spans="2:15" ht="16.350000000000001" customHeight="1">
      <c r="B107" s="509"/>
      <c r="F107" s="508"/>
      <c r="I107" s="509"/>
      <c r="J107" s="571">
        <v>0.43055555555555602</v>
      </c>
      <c r="K107" s="568">
        <v>5</v>
      </c>
      <c r="L107" s="550" t="s">
        <v>926</v>
      </c>
      <c r="M107" s="569"/>
      <c r="N107" s="575"/>
      <c r="O107" s="574"/>
    </row>
    <row r="108" spans="2:15" ht="16.350000000000001" customHeight="1">
      <c r="B108" s="526" t="s">
        <v>805</v>
      </c>
      <c r="C108" s="526" t="s">
        <v>806</v>
      </c>
      <c r="D108" s="676" t="s">
        <v>807</v>
      </c>
      <c r="E108" s="676"/>
      <c r="F108" s="676"/>
      <c r="G108" s="676"/>
      <c r="I108" s="509"/>
      <c r="J108" s="577">
        <v>0.44444444444444398</v>
      </c>
      <c r="K108" s="569">
        <v>6</v>
      </c>
      <c r="L108" s="550" t="s">
        <v>927</v>
      </c>
      <c r="M108" s="569"/>
      <c r="N108" s="578"/>
      <c r="O108" s="569"/>
    </row>
    <row r="109" spans="2:15" ht="16.350000000000001" customHeight="1">
      <c r="B109" s="531" t="s">
        <v>811</v>
      </c>
      <c r="C109" s="531" t="s">
        <v>812</v>
      </c>
      <c r="D109" s="526" t="s">
        <v>404</v>
      </c>
      <c r="E109" s="526" t="s">
        <v>444</v>
      </c>
      <c r="F109" s="533"/>
      <c r="G109" s="532"/>
      <c r="I109" s="509"/>
      <c r="J109" s="674" t="s">
        <v>829</v>
      </c>
      <c r="K109" s="674"/>
      <c r="L109" s="674"/>
      <c r="M109" s="674"/>
      <c r="N109" s="674"/>
      <c r="O109" s="674"/>
    </row>
    <row r="110" spans="2:15" ht="16.350000000000001" customHeight="1">
      <c r="B110" s="549">
        <v>0.58333333333333304</v>
      </c>
      <c r="C110" s="553">
        <v>1</v>
      </c>
      <c r="D110" s="550" t="s">
        <v>757</v>
      </c>
      <c r="E110" s="550" t="s">
        <v>760</v>
      </c>
      <c r="F110" s="546"/>
      <c r="G110" s="540"/>
      <c r="I110" s="509"/>
      <c r="J110" s="579">
        <v>0.58333333333333304</v>
      </c>
      <c r="K110" s="569">
        <v>7</v>
      </c>
      <c r="L110" s="537" t="s">
        <v>928</v>
      </c>
      <c r="M110" s="569"/>
      <c r="N110" s="575"/>
      <c r="O110" s="575"/>
    </row>
    <row r="111" spans="2:15" ht="16.350000000000001" customHeight="1">
      <c r="B111" s="549">
        <v>0.59722222222222199</v>
      </c>
      <c r="C111" s="553">
        <v>2</v>
      </c>
      <c r="D111" s="550" t="s">
        <v>764</v>
      </c>
      <c r="E111" s="550" t="s">
        <v>771</v>
      </c>
      <c r="F111" s="546"/>
      <c r="G111" s="540"/>
      <c r="I111" s="509"/>
      <c r="J111" s="579">
        <v>0.59722222222222199</v>
      </c>
      <c r="K111" s="569">
        <v>8</v>
      </c>
      <c r="L111" s="537" t="s">
        <v>929</v>
      </c>
      <c r="M111" s="569"/>
      <c r="N111" s="575"/>
      <c r="O111" s="575"/>
    </row>
    <row r="112" spans="2:15" ht="16.350000000000001" customHeight="1">
      <c r="B112" s="549">
        <v>0.61111111111111105</v>
      </c>
      <c r="C112" s="553">
        <v>3</v>
      </c>
      <c r="D112" s="550" t="s">
        <v>755</v>
      </c>
      <c r="E112" s="550" t="s">
        <v>759</v>
      </c>
      <c r="F112" s="563"/>
      <c r="G112" s="532"/>
      <c r="I112" s="509"/>
      <c r="J112" s="579">
        <v>0.61111111111111105</v>
      </c>
      <c r="K112" s="569">
        <v>9</v>
      </c>
      <c r="L112" s="550" t="s">
        <v>930</v>
      </c>
      <c r="M112" s="569"/>
      <c r="N112" s="580"/>
      <c r="O112" s="569"/>
    </row>
    <row r="113" spans="2:15" ht="16.350000000000001" customHeight="1">
      <c r="B113" s="549">
        <v>0.625</v>
      </c>
      <c r="C113" s="553">
        <v>4</v>
      </c>
      <c r="D113" s="550" t="s">
        <v>763</v>
      </c>
      <c r="E113" s="550" t="s">
        <v>768</v>
      </c>
      <c r="F113" s="563"/>
      <c r="G113" s="532"/>
      <c r="I113" s="509"/>
      <c r="J113" s="579">
        <v>0.625</v>
      </c>
      <c r="K113" s="569">
        <v>10</v>
      </c>
      <c r="L113" s="550" t="s">
        <v>931</v>
      </c>
      <c r="M113" s="574"/>
      <c r="N113" s="569"/>
      <c r="O113" s="569"/>
    </row>
    <row r="114" spans="2:15" ht="16.350000000000001" customHeight="1">
      <c r="B114" s="549"/>
      <c r="C114" s="532"/>
      <c r="D114" s="533"/>
      <c r="E114" s="581"/>
      <c r="F114" s="532"/>
      <c r="G114" s="532"/>
      <c r="I114" s="509"/>
      <c r="J114" s="579">
        <v>0.63888888888888895</v>
      </c>
      <c r="K114" s="569">
        <v>11</v>
      </c>
      <c r="L114" s="550" t="s">
        <v>932</v>
      </c>
      <c r="M114" s="574"/>
      <c r="N114" s="569"/>
      <c r="O114" s="569"/>
    </row>
    <row r="115" spans="2:15" ht="16.5" customHeight="1">
      <c r="B115" s="549"/>
      <c r="C115" s="532"/>
      <c r="D115" s="540"/>
      <c r="E115" s="540"/>
      <c r="F115" s="532"/>
      <c r="G115" s="532"/>
      <c r="I115" s="509"/>
      <c r="J115" s="577">
        <v>0.65277777777777801</v>
      </c>
      <c r="K115" s="582">
        <v>12</v>
      </c>
      <c r="L115" s="583" t="s">
        <v>933</v>
      </c>
      <c r="M115" s="574"/>
      <c r="N115" s="569"/>
      <c r="O115" s="569"/>
    </row>
    <row r="116" spans="2:15" ht="16.5" customHeight="1">
      <c r="B116" s="509"/>
      <c r="C116" s="560"/>
    </row>
    <row r="117" spans="2:15">
      <c r="B117" s="509"/>
      <c r="C117" s="560"/>
      <c r="L117" s="508"/>
      <c r="M117" s="508"/>
    </row>
    <row r="118" spans="2:15" ht="17.25" customHeight="1" thickBot="1">
      <c r="B118" s="509"/>
      <c r="E118" s="521" t="s">
        <v>934</v>
      </c>
      <c r="F118" s="521"/>
      <c r="I118" s="509"/>
      <c r="J118" s="509"/>
      <c r="L118" s="521" t="s">
        <v>935</v>
      </c>
      <c r="M118" s="521"/>
      <c r="N118" s="521"/>
    </row>
    <row r="119" spans="2:15" ht="18" thickTop="1">
      <c r="B119" s="509"/>
      <c r="C119" s="522" t="s">
        <v>372</v>
      </c>
      <c r="D119" s="523" t="s">
        <v>802</v>
      </c>
      <c r="E119" s="524" t="s">
        <v>803</v>
      </c>
      <c r="F119" s="524" t="s">
        <v>804</v>
      </c>
      <c r="G119" s="525"/>
      <c r="I119" s="509"/>
      <c r="J119" s="666" t="s">
        <v>936</v>
      </c>
      <c r="K119" s="666"/>
      <c r="L119" s="666"/>
      <c r="M119" s="666"/>
      <c r="N119" s="666"/>
      <c r="O119" s="666"/>
    </row>
    <row r="120" spans="2:15">
      <c r="B120" s="509"/>
      <c r="C120" s="527"/>
      <c r="D120" s="528" t="s">
        <v>808</v>
      </c>
      <c r="E120" s="529" t="s">
        <v>809</v>
      </c>
      <c r="F120" s="296" t="s">
        <v>810</v>
      </c>
      <c r="G120" s="530"/>
      <c r="I120" s="509"/>
      <c r="J120" s="666"/>
      <c r="K120" s="666"/>
      <c r="L120" s="666"/>
      <c r="M120" s="666"/>
      <c r="N120" s="666"/>
      <c r="O120" s="666"/>
    </row>
    <row r="121" spans="2:15">
      <c r="B121" s="534"/>
      <c r="C121" s="527"/>
      <c r="D121" s="528" t="s">
        <v>813</v>
      </c>
      <c r="E121" s="528" t="s">
        <v>814</v>
      </c>
      <c r="F121" s="535" t="s">
        <v>397</v>
      </c>
      <c r="G121" s="530"/>
      <c r="I121" s="509"/>
      <c r="J121" s="666"/>
      <c r="K121" s="666"/>
      <c r="L121" s="666"/>
      <c r="M121" s="666"/>
      <c r="N121" s="666"/>
      <c r="O121" s="666"/>
    </row>
    <row r="122" spans="2:15" ht="18" thickBot="1">
      <c r="B122" s="509"/>
      <c r="C122" s="541"/>
      <c r="D122" s="542" t="s">
        <v>817</v>
      </c>
      <c r="E122" s="543" t="s">
        <v>398</v>
      </c>
      <c r="F122" s="544" t="s">
        <v>818</v>
      </c>
      <c r="G122" s="545"/>
      <c r="I122" s="509"/>
      <c r="J122" s="666"/>
      <c r="K122" s="666"/>
      <c r="L122" s="666"/>
      <c r="M122" s="666"/>
      <c r="N122" s="666"/>
      <c r="O122" s="666"/>
    </row>
    <row r="123" spans="2:15" ht="18" thickTop="1">
      <c r="B123" s="509"/>
      <c r="I123" s="509"/>
      <c r="J123" s="666"/>
      <c r="K123" s="666"/>
      <c r="L123" s="666"/>
      <c r="M123" s="666"/>
      <c r="N123" s="666"/>
      <c r="O123" s="666"/>
    </row>
    <row r="124" spans="2:15" ht="16.5" customHeight="1">
      <c r="B124" s="509"/>
      <c r="I124" s="509"/>
      <c r="J124" s="666"/>
      <c r="K124" s="666"/>
      <c r="L124" s="666"/>
      <c r="M124" s="666"/>
      <c r="N124" s="666"/>
      <c r="O124" s="666"/>
    </row>
    <row r="125" spans="2:15">
      <c r="B125" s="509"/>
      <c r="F125" s="508"/>
      <c r="I125" s="509"/>
      <c r="J125" s="666"/>
      <c r="K125" s="666"/>
      <c r="L125" s="666"/>
      <c r="M125" s="666"/>
      <c r="N125" s="666"/>
      <c r="O125" s="666"/>
    </row>
    <row r="126" spans="2:15" ht="17.25" customHeight="1">
      <c r="B126" s="666" t="s">
        <v>936</v>
      </c>
      <c r="C126" s="666"/>
      <c r="D126" s="666"/>
      <c r="E126" s="666"/>
      <c r="F126" s="666"/>
      <c r="G126" s="666"/>
      <c r="I126" s="509"/>
      <c r="J126" s="666"/>
      <c r="K126" s="666"/>
      <c r="L126" s="666"/>
      <c r="M126" s="666"/>
      <c r="N126" s="666"/>
      <c r="O126" s="666"/>
    </row>
    <row r="127" spans="2:15" ht="15.6" customHeight="1">
      <c r="B127" s="666"/>
      <c r="C127" s="666"/>
      <c r="D127" s="666"/>
      <c r="E127" s="666"/>
      <c r="F127" s="666"/>
      <c r="G127" s="666"/>
      <c r="I127" s="509"/>
      <c r="J127" s="666"/>
      <c r="K127" s="666"/>
      <c r="L127" s="666"/>
      <c r="M127" s="666"/>
      <c r="N127" s="666"/>
      <c r="O127" s="666"/>
    </row>
    <row r="128" spans="2:15" ht="15.6" customHeight="1">
      <c r="B128" s="666"/>
      <c r="C128" s="666"/>
      <c r="D128" s="666"/>
      <c r="E128" s="666"/>
      <c r="F128" s="666"/>
      <c r="G128" s="666"/>
      <c r="I128" s="509"/>
      <c r="J128" s="666"/>
      <c r="K128" s="666"/>
      <c r="L128" s="666"/>
      <c r="M128" s="666"/>
      <c r="N128" s="666"/>
      <c r="O128" s="666"/>
    </row>
    <row r="129" spans="2:16" ht="15.6" customHeight="1">
      <c r="B129" s="666"/>
      <c r="C129" s="666"/>
      <c r="D129" s="666"/>
      <c r="E129" s="666"/>
      <c r="F129" s="666"/>
      <c r="G129" s="666"/>
      <c r="I129" s="509"/>
      <c r="J129" s="666"/>
      <c r="K129" s="666"/>
      <c r="L129" s="666"/>
      <c r="M129" s="666"/>
      <c r="N129" s="666"/>
      <c r="O129" s="666"/>
    </row>
    <row r="130" spans="2:16" ht="15.6" customHeight="1">
      <c r="B130" s="666"/>
      <c r="C130" s="666"/>
      <c r="D130" s="666"/>
      <c r="E130" s="666"/>
      <c r="F130" s="666"/>
      <c r="G130" s="666"/>
      <c r="I130" s="509"/>
      <c r="J130" s="666"/>
      <c r="K130" s="666"/>
      <c r="L130" s="666"/>
      <c r="M130" s="666"/>
      <c r="N130" s="666"/>
      <c r="O130" s="666"/>
    </row>
    <row r="131" spans="2:16" ht="15.6" customHeight="1">
      <c r="B131" s="666"/>
      <c r="C131" s="666"/>
      <c r="D131" s="666"/>
      <c r="E131" s="666"/>
      <c r="F131" s="666"/>
      <c r="G131" s="666"/>
      <c r="I131" s="509"/>
      <c r="J131" s="534"/>
      <c r="K131" s="509"/>
      <c r="M131" s="117"/>
      <c r="N131" s="509"/>
    </row>
    <row r="132" spans="2:16" ht="15.6" customHeight="1">
      <c r="B132" s="666"/>
      <c r="C132" s="666"/>
      <c r="D132" s="666"/>
      <c r="E132" s="666"/>
      <c r="F132" s="666"/>
      <c r="G132" s="666"/>
      <c r="I132" s="509"/>
      <c r="J132" s="509"/>
      <c r="L132" s="508"/>
      <c r="M132" s="508"/>
    </row>
    <row r="133" spans="2:16" ht="15.6" customHeight="1">
      <c r="B133" s="666"/>
      <c r="C133" s="666"/>
      <c r="D133" s="666"/>
      <c r="E133" s="666"/>
      <c r="F133" s="666"/>
      <c r="G133" s="666"/>
      <c r="I133" s="509"/>
      <c r="J133" s="509"/>
      <c r="L133" s="508"/>
      <c r="M133" s="508"/>
    </row>
    <row r="134" spans="2:16">
      <c r="C134" s="560"/>
      <c r="I134" s="117"/>
      <c r="L134" s="508"/>
      <c r="M134" s="508"/>
    </row>
    <row r="135" spans="2:16" ht="16.5" customHeight="1">
      <c r="B135" s="509"/>
      <c r="C135" s="560"/>
      <c r="H135" s="117"/>
      <c r="L135" s="508"/>
      <c r="M135" s="508"/>
    </row>
    <row r="136" spans="2:16">
      <c r="B136" s="509"/>
      <c r="C136" s="560"/>
      <c r="I136" s="509"/>
      <c r="L136" s="508"/>
      <c r="M136" s="508"/>
    </row>
    <row r="137" spans="2:16" ht="17.25" customHeight="1" thickBot="1">
      <c r="B137" s="509"/>
      <c r="E137" s="521" t="s">
        <v>937</v>
      </c>
      <c r="F137" s="521"/>
      <c r="I137" s="509"/>
      <c r="J137" s="509"/>
      <c r="L137" s="565" t="s">
        <v>938</v>
      </c>
      <c r="M137" s="565"/>
      <c r="N137" s="565"/>
    </row>
    <row r="138" spans="2:16" ht="16.350000000000001" customHeight="1" thickTop="1">
      <c r="B138" s="509"/>
      <c r="C138" s="522" t="s">
        <v>372</v>
      </c>
      <c r="D138" s="523" t="s">
        <v>802</v>
      </c>
      <c r="E138" s="524" t="s">
        <v>803</v>
      </c>
      <c r="F138" s="524" t="s">
        <v>804</v>
      </c>
      <c r="G138" s="525"/>
      <c r="I138" s="509"/>
      <c r="J138" s="666" t="s">
        <v>936</v>
      </c>
      <c r="K138" s="666"/>
      <c r="L138" s="666"/>
      <c r="M138" s="666"/>
      <c r="N138" s="666"/>
      <c r="O138" s="666"/>
      <c r="P138" s="508"/>
    </row>
    <row r="139" spans="2:16" ht="15.6" customHeight="1">
      <c r="B139" s="509"/>
      <c r="C139" s="527"/>
      <c r="D139" s="528" t="s">
        <v>808</v>
      </c>
      <c r="E139" s="529" t="s">
        <v>809</v>
      </c>
      <c r="F139" s="296" t="s">
        <v>810</v>
      </c>
      <c r="G139" s="530"/>
      <c r="I139" s="509"/>
      <c r="J139" s="666"/>
      <c r="K139" s="666"/>
      <c r="L139" s="666"/>
      <c r="M139" s="666"/>
      <c r="N139" s="666"/>
      <c r="O139" s="666"/>
      <c r="P139" s="508"/>
    </row>
    <row r="140" spans="2:16" ht="15.6" customHeight="1">
      <c r="B140" s="534"/>
      <c r="C140" s="527"/>
      <c r="D140" s="528" t="s">
        <v>813</v>
      </c>
      <c r="E140" s="528" t="s">
        <v>814</v>
      </c>
      <c r="F140" s="535" t="s">
        <v>397</v>
      </c>
      <c r="G140" s="530"/>
      <c r="I140" s="509"/>
      <c r="J140" s="666"/>
      <c r="K140" s="666"/>
      <c r="L140" s="666"/>
      <c r="M140" s="666"/>
      <c r="N140" s="666"/>
      <c r="O140" s="666"/>
    </row>
    <row r="141" spans="2:16" ht="16.350000000000001" customHeight="1" thickBot="1">
      <c r="B141" s="509"/>
      <c r="C141" s="541"/>
      <c r="D141" s="542" t="s">
        <v>817</v>
      </c>
      <c r="E141" s="543" t="s">
        <v>398</v>
      </c>
      <c r="F141" s="544" t="s">
        <v>818</v>
      </c>
      <c r="G141" s="545"/>
      <c r="I141" s="509"/>
      <c r="J141" s="666"/>
      <c r="K141" s="666"/>
      <c r="L141" s="666"/>
      <c r="M141" s="666"/>
      <c r="N141" s="666"/>
      <c r="O141" s="666"/>
    </row>
    <row r="142" spans="2:16" ht="16.350000000000001" customHeight="1" thickTop="1">
      <c r="B142" s="509"/>
      <c r="I142" s="509"/>
      <c r="J142" s="666"/>
      <c r="K142" s="666"/>
      <c r="L142" s="666"/>
      <c r="M142" s="666"/>
      <c r="N142" s="666"/>
      <c r="O142" s="666"/>
    </row>
    <row r="143" spans="2:16" ht="16.5" customHeight="1">
      <c r="B143" s="509"/>
      <c r="I143" s="509"/>
      <c r="J143" s="666"/>
      <c r="K143" s="666"/>
      <c r="L143" s="666"/>
      <c r="M143" s="666"/>
      <c r="N143" s="666"/>
      <c r="O143" s="666"/>
    </row>
    <row r="144" spans="2:16" ht="15.6" customHeight="1">
      <c r="B144" s="509"/>
      <c r="F144" s="508"/>
      <c r="I144" s="509"/>
      <c r="J144" s="666"/>
      <c r="K144" s="666"/>
      <c r="L144" s="666"/>
      <c r="M144" s="666"/>
      <c r="N144" s="666"/>
      <c r="O144" s="666"/>
    </row>
    <row r="145" spans="2:15" ht="17.25" customHeight="1">
      <c r="B145" s="666" t="s">
        <v>936</v>
      </c>
      <c r="C145" s="666"/>
      <c r="D145" s="666"/>
      <c r="E145" s="666"/>
      <c r="F145" s="666"/>
      <c r="G145" s="666"/>
      <c r="H145" s="508"/>
      <c r="I145" s="509"/>
      <c r="J145" s="666"/>
      <c r="K145" s="666"/>
      <c r="L145" s="666"/>
      <c r="M145" s="666"/>
      <c r="N145" s="666"/>
      <c r="O145" s="666"/>
    </row>
    <row r="146" spans="2:15" ht="15.6" customHeight="1">
      <c r="B146" s="666"/>
      <c r="C146" s="666"/>
      <c r="D146" s="666"/>
      <c r="E146" s="666"/>
      <c r="F146" s="666"/>
      <c r="G146" s="666"/>
      <c r="I146" s="509"/>
      <c r="J146" s="666"/>
      <c r="K146" s="666"/>
      <c r="L146" s="666"/>
      <c r="M146" s="666"/>
      <c r="N146" s="666"/>
      <c r="O146" s="666"/>
    </row>
    <row r="147" spans="2:15" ht="15.6" customHeight="1">
      <c r="B147" s="666"/>
      <c r="C147" s="666"/>
      <c r="D147" s="666"/>
      <c r="E147" s="666"/>
      <c r="F147" s="666"/>
      <c r="G147" s="666"/>
      <c r="I147" s="509"/>
      <c r="J147" s="666"/>
      <c r="K147" s="666"/>
      <c r="L147" s="666"/>
      <c r="M147" s="666"/>
      <c r="N147" s="666"/>
      <c r="O147" s="666"/>
    </row>
    <row r="148" spans="2:15" ht="15.6" customHeight="1">
      <c r="B148" s="666"/>
      <c r="C148" s="666"/>
      <c r="D148" s="666"/>
      <c r="E148" s="666"/>
      <c r="F148" s="666"/>
      <c r="G148" s="666"/>
      <c r="I148" s="509"/>
      <c r="J148" s="666"/>
      <c r="K148" s="666"/>
      <c r="L148" s="666"/>
      <c r="M148" s="666"/>
      <c r="N148" s="666"/>
      <c r="O148" s="666"/>
    </row>
    <row r="149" spans="2:15" ht="15.6" customHeight="1">
      <c r="B149" s="666"/>
      <c r="C149" s="666"/>
      <c r="D149" s="666"/>
      <c r="E149" s="666"/>
      <c r="F149" s="666"/>
      <c r="G149" s="666"/>
      <c r="I149" s="509"/>
      <c r="J149" s="666"/>
      <c r="K149" s="666"/>
      <c r="L149" s="666"/>
      <c r="M149" s="666"/>
      <c r="N149" s="666"/>
      <c r="O149" s="666"/>
    </row>
    <row r="150" spans="2:15">
      <c r="B150" s="666"/>
      <c r="C150" s="666"/>
      <c r="D150" s="666"/>
      <c r="E150" s="666"/>
      <c r="F150" s="666"/>
      <c r="G150" s="666"/>
      <c r="I150" s="509"/>
      <c r="J150" s="534"/>
      <c r="K150" s="509"/>
      <c r="M150" s="117"/>
      <c r="N150" s="509"/>
    </row>
    <row r="151" spans="2:15">
      <c r="B151" s="666"/>
      <c r="C151" s="666"/>
      <c r="D151" s="666"/>
      <c r="E151" s="666"/>
      <c r="F151" s="666"/>
      <c r="G151" s="666"/>
      <c r="I151" s="509"/>
      <c r="J151" s="509"/>
      <c r="L151" s="508"/>
      <c r="M151" s="508"/>
    </row>
    <row r="152" spans="2:15">
      <c r="B152" s="666"/>
      <c r="C152" s="666"/>
      <c r="D152" s="666"/>
      <c r="E152" s="666"/>
      <c r="F152" s="666"/>
      <c r="G152" s="666"/>
      <c r="I152" s="509"/>
      <c r="J152" s="509"/>
      <c r="L152" s="508"/>
      <c r="M152" s="508"/>
    </row>
    <row r="153" spans="2:15">
      <c r="C153" s="560"/>
      <c r="L153" s="508"/>
      <c r="M153" s="508"/>
    </row>
    <row r="154" spans="2:15">
      <c r="C154" s="560"/>
      <c r="J154" s="584" t="s">
        <v>939</v>
      </c>
      <c r="K154" s="585"/>
      <c r="L154" s="586" t="s">
        <v>940</v>
      </c>
      <c r="M154" s="587"/>
    </row>
    <row r="155" spans="2:15" ht="17.25" customHeight="1" thickBot="1">
      <c r="B155" s="509"/>
      <c r="E155" s="521" t="s">
        <v>941</v>
      </c>
      <c r="F155" s="521"/>
      <c r="I155" s="509"/>
      <c r="J155" s="509"/>
      <c r="L155" s="521" t="s">
        <v>942</v>
      </c>
      <c r="M155" s="521"/>
      <c r="N155" s="521"/>
    </row>
    <row r="156" spans="2:15" ht="18" thickTop="1">
      <c r="B156" s="509"/>
      <c r="C156" s="522" t="s">
        <v>372</v>
      </c>
      <c r="D156" s="523" t="s">
        <v>802</v>
      </c>
      <c r="E156" s="524" t="s">
        <v>803</v>
      </c>
      <c r="F156" s="524" t="s">
        <v>804</v>
      </c>
      <c r="G156" s="525"/>
      <c r="I156" s="509"/>
      <c r="J156" s="566" t="s">
        <v>805</v>
      </c>
      <c r="K156" s="566" t="s">
        <v>806</v>
      </c>
      <c r="L156" s="673" t="s">
        <v>807</v>
      </c>
      <c r="M156" s="673"/>
      <c r="N156" s="673"/>
      <c r="O156" s="673"/>
    </row>
    <row r="157" spans="2:15">
      <c r="B157" s="509"/>
      <c r="C157" s="527"/>
      <c r="D157" s="528" t="s">
        <v>808</v>
      </c>
      <c r="E157" s="529" t="s">
        <v>809</v>
      </c>
      <c r="F157" s="296" t="s">
        <v>810</v>
      </c>
      <c r="G157" s="530"/>
      <c r="I157" s="509"/>
      <c r="J157" s="588" t="s">
        <v>811</v>
      </c>
      <c r="K157" s="589" t="s">
        <v>812</v>
      </c>
      <c r="L157" s="590" t="s">
        <v>404</v>
      </c>
      <c r="M157" s="590" t="s">
        <v>444</v>
      </c>
      <c r="N157" s="569"/>
      <c r="O157" s="569"/>
    </row>
    <row r="158" spans="2:15">
      <c r="B158" s="534"/>
      <c r="C158" s="527"/>
      <c r="D158" s="528" t="s">
        <v>813</v>
      </c>
      <c r="E158" s="528" t="s">
        <v>814</v>
      </c>
      <c r="F158" s="535" t="s">
        <v>397</v>
      </c>
      <c r="G158" s="530"/>
      <c r="I158" s="509"/>
      <c r="J158" s="591">
        <v>0.39583333333333298</v>
      </c>
      <c r="K158" s="572">
        <v>1</v>
      </c>
      <c r="L158" s="550" t="s">
        <v>478</v>
      </c>
      <c r="M158" s="550" t="s">
        <v>482</v>
      </c>
      <c r="N158" s="580"/>
      <c r="O158" s="574"/>
    </row>
    <row r="159" spans="2:15" ht="18" thickBot="1">
      <c r="B159" s="509"/>
      <c r="C159" s="541"/>
      <c r="D159" s="542" t="s">
        <v>817</v>
      </c>
      <c r="E159" s="543" t="s">
        <v>398</v>
      </c>
      <c r="F159" s="544" t="s">
        <v>818</v>
      </c>
      <c r="G159" s="545"/>
      <c r="I159" s="509"/>
      <c r="J159" s="571">
        <v>0.40972222222222199</v>
      </c>
      <c r="K159" s="582">
        <v>2</v>
      </c>
      <c r="L159" s="537" t="s">
        <v>486</v>
      </c>
      <c r="M159" s="537" t="s">
        <v>489</v>
      </c>
      <c r="N159" s="574"/>
      <c r="O159" s="574"/>
    </row>
    <row r="160" spans="2:15" ht="18" thickTop="1">
      <c r="B160" s="509"/>
      <c r="I160" s="509"/>
      <c r="J160" s="571">
        <v>0.42361111111111099</v>
      </c>
      <c r="K160" s="572">
        <v>3</v>
      </c>
      <c r="L160" s="537" t="s">
        <v>493</v>
      </c>
      <c r="M160" s="537" t="s">
        <v>497</v>
      </c>
      <c r="N160" s="574"/>
      <c r="O160" s="574"/>
    </row>
    <row r="161" spans="2:15" ht="16.5" customHeight="1">
      <c r="B161" s="509"/>
      <c r="I161" s="509"/>
      <c r="J161" s="571">
        <v>0.4375</v>
      </c>
      <c r="K161" s="568">
        <v>4</v>
      </c>
      <c r="L161" s="537" t="s">
        <v>501</v>
      </c>
      <c r="M161" s="537" t="s">
        <v>507</v>
      </c>
      <c r="N161" s="574"/>
      <c r="O161" s="574"/>
    </row>
    <row r="162" spans="2:15">
      <c r="B162" s="509"/>
      <c r="F162" s="508"/>
      <c r="I162" s="509"/>
      <c r="J162" s="577"/>
      <c r="K162" s="572"/>
      <c r="L162" s="574"/>
      <c r="M162" s="592"/>
      <c r="N162" s="574"/>
      <c r="O162" s="574"/>
    </row>
    <row r="163" spans="2:15" ht="17.25" customHeight="1">
      <c r="B163" s="666" t="s">
        <v>936</v>
      </c>
      <c r="C163" s="666"/>
      <c r="D163" s="666"/>
      <c r="E163" s="666"/>
      <c r="F163" s="666"/>
      <c r="G163" s="666"/>
      <c r="I163" s="509"/>
      <c r="J163" s="674" t="s">
        <v>829</v>
      </c>
      <c r="K163" s="674"/>
      <c r="L163" s="674"/>
      <c r="M163" s="674"/>
      <c r="N163" s="674"/>
      <c r="O163" s="674"/>
    </row>
    <row r="164" spans="2:15">
      <c r="B164" s="666"/>
      <c r="C164" s="666"/>
      <c r="D164" s="666"/>
      <c r="E164" s="666"/>
      <c r="F164" s="666"/>
      <c r="G164" s="666"/>
      <c r="I164" s="509"/>
      <c r="J164" s="571">
        <v>0.58333333333333304</v>
      </c>
      <c r="K164" s="572">
        <v>5</v>
      </c>
      <c r="L164" s="537" t="s">
        <v>480</v>
      </c>
      <c r="M164" s="537" t="s">
        <v>487</v>
      </c>
      <c r="N164" s="575"/>
      <c r="O164" s="575"/>
    </row>
    <row r="165" spans="2:15">
      <c r="B165" s="666"/>
      <c r="C165" s="666"/>
      <c r="D165" s="666"/>
      <c r="E165" s="666"/>
      <c r="F165" s="666"/>
      <c r="G165" s="666"/>
      <c r="I165" s="509"/>
      <c r="J165" s="571">
        <v>0.59722222222222199</v>
      </c>
      <c r="K165" s="572">
        <v>6</v>
      </c>
      <c r="L165" s="537" t="s">
        <v>495</v>
      </c>
      <c r="M165" s="537" t="s">
        <v>503</v>
      </c>
      <c r="N165" s="575"/>
      <c r="O165" s="575"/>
    </row>
    <row r="166" spans="2:15">
      <c r="B166" s="666"/>
      <c r="C166" s="666"/>
      <c r="D166" s="666"/>
      <c r="E166" s="666"/>
      <c r="F166" s="666"/>
      <c r="G166" s="666"/>
      <c r="I166" s="509"/>
      <c r="J166" s="571"/>
      <c r="K166" s="572"/>
      <c r="L166" s="574"/>
      <c r="M166" s="592"/>
      <c r="N166" s="575"/>
      <c r="O166" s="575"/>
    </row>
    <row r="167" spans="2:15">
      <c r="B167" s="666"/>
      <c r="C167" s="666"/>
      <c r="D167" s="666"/>
      <c r="E167" s="666"/>
      <c r="F167" s="666"/>
      <c r="G167" s="666"/>
      <c r="I167" s="509"/>
      <c r="J167" s="577"/>
      <c r="K167" s="572"/>
      <c r="L167" s="574"/>
      <c r="M167" s="592"/>
      <c r="N167" s="593"/>
      <c r="O167" s="569"/>
    </row>
    <row r="168" spans="2:15">
      <c r="B168" s="666"/>
      <c r="C168" s="666"/>
      <c r="D168" s="666"/>
      <c r="E168" s="666"/>
      <c r="F168" s="666"/>
      <c r="G168" s="666"/>
      <c r="I168" s="509"/>
      <c r="J168" s="534"/>
      <c r="K168" s="509"/>
      <c r="M168" s="117"/>
      <c r="N168" s="509"/>
    </row>
    <row r="169" spans="2:15">
      <c r="B169" s="666"/>
      <c r="C169" s="666"/>
      <c r="D169" s="666"/>
      <c r="E169" s="666"/>
      <c r="F169" s="666"/>
      <c r="G169" s="666"/>
      <c r="I169" s="509"/>
      <c r="J169" s="509"/>
      <c r="L169" s="508"/>
      <c r="M169" s="508"/>
    </row>
    <row r="170" spans="2:15">
      <c r="B170" s="666"/>
      <c r="C170" s="666"/>
      <c r="D170" s="666"/>
      <c r="E170" s="666"/>
      <c r="F170" s="666"/>
      <c r="G170" s="666"/>
      <c r="I170" s="509"/>
      <c r="J170" s="509"/>
      <c r="L170" s="508"/>
      <c r="M170" s="508"/>
    </row>
    <row r="171" spans="2:15" hidden="1">
      <c r="B171" s="594"/>
      <c r="C171" s="595"/>
      <c r="D171" s="364"/>
      <c r="E171" s="364"/>
      <c r="F171" s="595"/>
      <c r="G171" s="595"/>
      <c r="I171" s="509"/>
      <c r="J171" s="509"/>
      <c r="L171" s="508"/>
      <c r="M171" s="508"/>
    </row>
    <row r="172" spans="2:15">
      <c r="B172" s="596"/>
      <c r="C172" s="597"/>
      <c r="D172" s="598"/>
      <c r="E172" s="598"/>
      <c r="F172" s="597"/>
      <c r="G172" s="597"/>
      <c r="I172" s="509"/>
      <c r="J172" s="509"/>
      <c r="L172" s="508"/>
      <c r="M172" s="508"/>
    </row>
    <row r="173" spans="2:15">
      <c r="B173" s="596"/>
      <c r="C173" s="597"/>
      <c r="D173" s="598"/>
      <c r="E173" s="598"/>
      <c r="F173" s="597"/>
      <c r="G173" s="597"/>
      <c r="I173" s="509"/>
      <c r="J173" s="509"/>
      <c r="L173" s="508"/>
      <c r="M173" s="508"/>
    </row>
    <row r="174" spans="2:15">
      <c r="C174" s="584" t="s">
        <v>939</v>
      </c>
      <c r="D174" s="585"/>
      <c r="E174" s="586" t="s">
        <v>940</v>
      </c>
      <c r="F174" s="587"/>
      <c r="J174" s="584" t="s">
        <v>939</v>
      </c>
      <c r="K174" s="585"/>
      <c r="L174" s="586" t="s">
        <v>940</v>
      </c>
      <c r="M174" s="587"/>
    </row>
    <row r="175" spans="2:15" ht="18" thickBot="1">
      <c r="B175" s="509"/>
      <c r="E175" s="521" t="s">
        <v>943</v>
      </c>
      <c r="F175" s="521"/>
      <c r="I175" s="509"/>
      <c r="J175" s="509"/>
      <c r="L175" s="521" t="s">
        <v>944</v>
      </c>
      <c r="M175" s="521"/>
      <c r="N175" s="521"/>
    </row>
    <row r="176" spans="2:15" ht="16.5" customHeight="1" thickTop="1">
      <c r="B176" s="509"/>
      <c r="C176" s="522" t="s">
        <v>372</v>
      </c>
      <c r="D176" s="523" t="s">
        <v>802</v>
      </c>
      <c r="E176" s="524" t="s">
        <v>803</v>
      </c>
      <c r="F176" s="524" t="s">
        <v>804</v>
      </c>
      <c r="G176" s="525"/>
      <c r="I176" s="509"/>
      <c r="J176" s="566" t="s">
        <v>805</v>
      </c>
      <c r="K176" s="566" t="s">
        <v>806</v>
      </c>
      <c r="L176" s="673" t="s">
        <v>807</v>
      </c>
      <c r="M176" s="673"/>
      <c r="N176" s="673"/>
      <c r="O176" s="673"/>
    </row>
    <row r="177" spans="2:15" ht="15.75" customHeight="1">
      <c r="B177" s="509"/>
      <c r="C177" s="527"/>
      <c r="D177" s="528" t="s">
        <v>808</v>
      </c>
      <c r="E177" s="529" t="s">
        <v>809</v>
      </c>
      <c r="F177" s="296" t="s">
        <v>810</v>
      </c>
      <c r="G177" s="530"/>
      <c r="I177" s="509"/>
      <c r="J177" s="588" t="s">
        <v>811</v>
      </c>
      <c r="K177" s="588" t="s">
        <v>812</v>
      </c>
      <c r="L177" s="590" t="s">
        <v>404</v>
      </c>
      <c r="M177" s="590" t="s">
        <v>444</v>
      </c>
      <c r="N177" s="599"/>
      <c r="O177" s="569"/>
    </row>
    <row r="178" spans="2:15" ht="15.75" customHeight="1">
      <c r="B178" s="534"/>
      <c r="C178" s="527"/>
      <c r="D178" s="528" t="s">
        <v>813</v>
      </c>
      <c r="E178" s="528" t="s">
        <v>814</v>
      </c>
      <c r="F178" s="535" t="s">
        <v>397</v>
      </c>
      <c r="G178" s="530"/>
      <c r="I178" s="509"/>
      <c r="J178" s="571">
        <v>0.375</v>
      </c>
      <c r="K178" s="569">
        <v>1</v>
      </c>
      <c r="L178" s="600" t="s">
        <v>890</v>
      </c>
      <c r="M178" s="601" t="s">
        <v>891</v>
      </c>
      <c r="N178" s="580"/>
      <c r="O178" s="574"/>
    </row>
    <row r="179" spans="2:15" ht="16.5" customHeight="1" thickBot="1">
      <c r="B179" s="509"/>
      <c r="C179" s="541"/>
      <c r="D179" s="542" t="s">
        <v>817</v>
      </c>
      <c r="E179" s="543" t="s">
        <v>398</v>
      </c>
      <c r="F179" s="544" t="s">
        <v>818</v>
      </c>
      <c r="G179" s="545"/>
      <c r="I179" s="509"/>
      <c r="J179" s="571">
        <v>0.38888888888888901</v>
      </c>
      <c r="K179" s="569">
        <v>2</v>
      </c>
      <c r="L179" s="600" t="s">
        <v>848</v>
      </c>
      <c r="M179" s="600" t="s">
        <v>849</v>
      </c>
      <c r="N179" s="574"/>
      <c r="O179" s="575"/>
    </row>
    <row r="180" spans="2:15" ht="16.5" customHeight="1" thickTop="1">
      <c r="B180" s="509"/>
      <c r="I180" s="509"/>
      <c r="J180" s="571">
        <v>0.40277777777777801</v>
      </c>
      <c r="K180" s="569">
        <v>3</v>
      </c>
      <c r="L180" s="600" t="s">
        <v>896</v>
      </c>
      <c r="M180" s="602" t="s">
        <v>897</v>
      </c>
      <c r="N180" s="574"/>
      <c r="O180" s="575"/>
    </row>
    <row r="181" spans="2:15" ht="15.75" customHeight="1">
      <c r="B181" s="509"/>
      <c r="I181" s="509"/>
      <c r="J181" s="571">
        <v>0.41666666666666702</v>
      </c>
      <c r="K181" s="566">
        <v>4</v>
      </c>
      <c r="L181" s="603" t="s">
        <v>852</v>
      </c>
      <c r="M181" s="600" t="s">
        <v>853</v>
      </c>
      <c r="N181" s="574"/>
      <c r="O181" s="575"/>
    </row>
    <row r="182" spans="2:15" ht="15.75" customHeight="1">
      <c r="B182" s="509"/>
      <c r="F182" s="508"/>
      <c r="I182" s="509"/>
      <c r="J182" s="577">
        <v>0.43055555555555602</v>
      </c>
      <c r="K182" s="569">
        <v>5</v>
      </c>
      <c r="L182" s="604" t="s">
        <v>854</v>
      </c>
      <c r="M182" s="602" t="s">
        <v>856</v>
      </c>
      <c r="N182" s="574"/>
      <c r="O182" s="575"/>
    </row>
    <row r="183" spans="2:15" ht="15.75" customHeight="1">
      <c r="B183" s="566" t="s">
        <v>805</v>
      </c>
      <c r="C183" s="566" t="s">
        <v>806</v>
      </c>
      <c r="D183" s="673" t="s">
        <v>807</v>
      </c>
      <c r="E183" s="673"/>
      <c r="F183" s="673"/>
      <c r="G183" s="673"/>
      <c r="I183" s="509"/>
      <c r="J183" s="675" t="s">
        <v>829</v>
      </c>
      <c r="K183" s="675"/>
      <c r="L183" s="675"/>
      <c r="M183" s="675"/>
      <c r="N183" s="675"/>
      <c r="O183" s="675"/>
    </row>
    <row r="184" spans="2:15" ht="15.75" customHeight="1">
      <c r="B184" s="588" t="s">
        <v>811</v>
      </c>
      <c r="C184" s="588" t="s">
        <v>812</v>
      </c>
      <c r="D184" s="590" t="s">
        <v>404</v>
      </c>
      <c r="E184" s="590" t="s">
        <v>444</v>
      </c>
      <c r="F184" s="599"/>
      <c r="G184" s="569"/>
      <c r="I184" s="509"/>
      <c r="J184" s="571">
        <v>0.58333333333333304</v>
      </c>
      <c r="K184" s="572">
        <v>6</v>
      </c>
      <c r="L184" s="604" t="s">
        <v>900</v>
      </c>
      <c r="M184" s="600" t="s">
        <v>901</v>
      </c>
      <c r="N184" s="575"/>
      <c r="O184" s="575"/>
    </row>
    <row r="185" spans="2:15" ht="15.75" customHeight="1">
      <c r="B185" s="577">
        <v>0.58333333333333304</v>
      </c>
      <c r="C185" s="569">
        <v>1</v>
      </c>
      <c r="D185" s="537" t="s">
        <v>945</v>
      </c>
      <c r="E185" s="574"/>
      <c r="F185" s="574"/>
      <c r="G185" s="574"/>
      <c r="I185" s="509"/>
      <c r="J185" s="571">
        <v>0.59722222222222199</v>
      </c>
      <c r="K185" s="572">
        <v>7</v>
      </c>
      <c r="L185" s="600" t="s">
        <v>858</v>
      </c>
      <c r="M185" s="600" t="s">
        <v>860</v>
      </c>
      <c r="N185" s="575"/>
      <c r="O185" s="575"/>
    </row>
    <row r="186" spans="2:15" ht="15.75" customHeight="1">
      <c r="B186" s="577">
        <v>0.59722222222222199</v>
      </c>
      <c r="C186" s="569">
        <v>2</v>
      </c>
      <c r="D186" s="537" t="s">
        <v>946</v>
      </c>
      <c r="E186" s="574"/>
      <c r="F186" s="574"/>
      <c r="G186" s="574"/>
      <c r="I186" s="509"/>
      <c r="J186" s="571">
        <v>0.61111111111111105</v>
      </c>
      <c r="K186" s="572">
        <v>8</v>
      </c>
      <c r="L186" s="600" t="s">
        <v>859</v>
      </c>
      <c r="M186" s="600" t="s">
        <v>861</v>
      </c>
      <c r="N186" s="575"/>
      <c r="O186" s="575"/>
    </row>
    <row r="187" spans="2:15" ht="15.75" customHeight="1">
      <c r="B187" s="577">
        <v>0.61111111111111105</v>
      </c>
      <c r="C187" s="569">
        <v>3</v>
      </c>
      <c r="D187" s="537" t="s">
        <v>947</v>
      </c>
      <c r="E187" s="574"/>
      <c r="F187" s="569"/>
      <c r="G187" s="569"/>
      <c r="I187" s="509"/>
      <c r="J187" s="577">
        <v>0.625</v>
      </c>
      <c r="K187" s="572">
        <v>9</v>
      </c>
      <c r="L187" s="604" t="s">
        <v>862</v>
      </c>
      <c r="M187" s="600" t="s">
        <v>864</v>
      </c>
      <c r="N187" s="593"/>
      <c r="O187" s="569"/>
    </row>
    <row r="188" spans="2:15">
      <c r="B188" s="577">
        <v>0.625</v>
      </c>
      <c r="C188" s="569">
        <v>4</v>
      </c>
      <c r="D188" s="537" t="s">
        <v>948</v>
      </c>
      <c r="E188" s="569"/>
      <c r="F188" s="569"/>
      <c r="G188" s="569"/>
      <c r="I188" s="509"/>
      <c r="J188" s="577"/>
      <c r="K188" s="569"/>
      <c r="L188" s="599"/>
      <c r="M188" s="605"/>
      <c r="N188" s="569"/>
      <c r="O188" s="569"/>
    </row>
    <row r="189" spans="2:15">
      <c r="B189" s="577"/>
      <c r="C189" s="569"/>
      <c r="D189" s="569"/>
      <c r="E189" s="574"/>
      <c r="F189" s="569"/>
      <c r="G189" s="569"/>
      <c r="I189" s="509"/>
      <c r="J189" s="577"/>
      <c r="K189" s="569"/>
      <c r="L189" s="569"/>
      <c r="M189" s="574"/>
      <c r="N189" s="569"/>
      <c r="O189" s="569"/>
    </row>
    <row r="190" spans="2:15">
      <c r="B190" s="577"/>
      <c r="C190" s="569"/>
      <c r="D190" s="574"/>
      <c r="E190" s="574"/>
      <c r="F190" s="569"/>
      <c r="G190" s="569"/>
      <c r="I190" s="509"/>
      <c r="J190" s="509"/>
      <c r="L190" s="508"/>
      <c r="M190" s="508"/>
    </row>
    <row r="192" spans="2:15">
      <c r="C192" s="584" t="s">
        <v>939</v>
      </c>
      <c r="D192" s="585"/>
      <c r="E192" s="586" t="s">
        <v>940</v>
      </c>
      <c r="F192" s="587"/>
      <c r="J192" s="584" t="s">
        <v>939</v>
      </c>
      <c r="K192" s="585"/>
      <c r="L192" s="586" t="s">
        <v>940</v>
      </c>
      <c r="M192" s="587"/>
    </row>
    <row r="193" spans="2:15" ht="18" thickBot="1">
      <c r="B193" s="509"/>
      <c r="E193" s="521" t="s">
        <v>949</v>
      </c>
      <c r="F193" s="521"/>
      <c r="I193" s="509"/>
      <c r="J193" s="509"/>
      <c r="L193" s="521" t="s">
        <v>950</v>
      </c>
      <c r="M193" s="521"/>
      <c r="N193" s="521"/>
    </row>
    <row r="194" spans="2:15" ht="16.5" customHeight="1" thickTop="1">
      <c r="B194" s="509"/>
      <c r="C194" s="522" t="s">
        <v>372</v>
      </c>
      <c r="D194" s="523" t="s">
        <v>802</v>
      </c>
      <c r="E194" s="524" t="s">
        <v>803</v>
      </c>
      <c r="F194" s="524" t="s">
        <v>804</v>
      </c>
      <c r="G194" s="525"/>
      <c r="I194" s="509"/>
      <c r="J194" s="606" t="s">
        <v>805</v>
      </c>
      <c r="K194" s="606" t="s">
        <v>806</v>
      </c>
      <c r="L194" s="667" t="s">
        <v>807</v>
      </c>
      <c r="M194" s="667"/>
      <c r="N194" s="667"/>
      <c r="O194" s="667"/>
    </row>
    <row r="195" spans="2:15" ht="15.75" customHeight="1">
      <c r="B195" s="509"/>
      <c r="C195" s="527"/>
      <c r="D195" s="528" t="s">
        <v>808</v>
      </c>
      <c r="E195" s="529" t="s">
        <v>809</v>
      </c>
      <c r="F195" s="296" t="s">
        <v>810</v>
      </c>
      <c r="G195" s="530"/>
      <c r="I195" s="509"/>
      <c r="J195" s="607" t="s">
        <v>811</v>
      </c>
      <c r="K195" s="607" t="s">
        <v>812</v>
      </c>
      <c r="L195" s="608" t="s">
        <v>404</v>
      </c>
      <c r="M195" s="608" t="s">
        <v>444</v>
      </c>
      <c r="N195" s="609"/>
      <c r="O195" s="608"/>
    </row>
    <row r="196" spans="2:15" ht="15.75" customHeight="1">
      <c r="B196" s="534"/>
      <c r="C196" s="527"/>
      <c r="D196" s="528" t="s">
        <v>813</v>
      </c>
      <c r="E196" s="528" t="s">
        <v>814</v>
      </c>
      <c r="F196" s="535" t="s">
        <v>397</v>
      </c>
      <c r="G196" s="530"/>
      <c r="I196" s="509"/>
      <c r="J196" s="610">
        <v>0.375</v>
      </c>
      <c r="K196" s="608">
        <v>1</v>
      </c>
      <c r="L196" s="600" t="s">
        <v>922</v>
      </c>
      <c r="M196" s="601" t="s">
        <v>923</v>
      </c>
      <c r="N196" s="611"/>
      <c r="O196" s="612"/>
    </row>
    <row r="197" spans="2:15" ht="16.5" customHeight="1" thickBot="1">
      <c r="B197" s="509"/>
      <c r="C197" s="541"/>
      <c r="D197" s="542" t="s">
        <v>817</v>
      </c>
      <c r="E197" s="543" t="s">
        <v>398</v>
      </c>
      <c r="F197" s="544" t="s">
        <v>818</v>
      </c>
      <c r="G197" s="545"/>
      <c r="I197" s="509"/>
      <c r="J197" s="610">
        <v>0.38888888888888901</v>
      </c>
      <c r="K197" s="608">
        <v>2</v>
      </c>
      <c r="L197" s="600" t="s">
        <v>850</v>
      </c>
      <c r="M197" s="600" t="s">
        <v>851</v>
      </c>
      <c r="N197" s="612"/>
      <c r="O197" s="613"/>
    </row>
    <row r="198" spans="2:15" ht="16.5" customHeight="1" thickTop="1">
      <c r="B198" s="509"/>
      <c r="I198" s="509"/>
      <c r="J198" s="610">
        <v>0.40277777777777801</v>
      </c>
      <c r="K198" s="608">
        <v>3</v>
      </c>
      <c r="L198" s="600" t="s">
        <v>926</v>
      </c>
      <c r="M198" s="602" t="s">
        <v>927</v>
      </c>
      <c r="N198" s="612"/>
      <c r="O198" s="613"/>
    </row>
    <row r="199" spans="2:15" ht="15.75" customHeight="1">
      <c r="B199" s="509"/>
      <c r="I199" s="509"/>
      <c r="J199" s="610">
        <v>0.41666666666666702</v>
      </c>
      <c r="K199" s="606">
        <v>4</v>
      </c>
      <c r="L199" s="603" t="s">
        <v>855</v>
      </c>
      <c r="M199" s="600" t="s">
        <v>857</v>
      </c>
      <c r="N199" s="612"/>
      <c r="O199" s="613"/>
    </row>
    <row r="200" spans="2:15" ht="15.75" customHeight="1">
      <c r="B200" s="509"/>
      <c r="F200" s="508"/>
      <c r="I200" s="509"/>
      <c r="J200" s="614">
        <v>0.43055555555555602</v>
      </c>
      <c r="K200" s="608">
        <v>5</v>
      </c>
      <c r="L200" s="604" t="s">
        <v>930</v>
      </c>
      <c r="M200" s="602" t="s">
        <v>931</v>
      </c>
      <c r="N200" s="612"/>
      <c r="O200" s="613"/>
    </row>
    <row r="201" spans="2:15" ht="15.75" customHeight="1">
      <c r="B201" s="606" t="s">
        <v>805</v>
      </c>
      <c r="C201" s="606" t="s">
        <v>806</v>
      </c>
      <c r="D201" s="671" t="s">
        <v>807</v>
      </c>
      <c r="E201" s="671"/>
      <c r="F201" s="671"/>
      <c r="G201" s="671"/>
      <c r="I201" s="509"/>
      <c r="J201" s="614">
        <v>0.44444444444444398</v>
      </c>
      <c r="K201" s="608">
        <v>6</v>
      </c>
      <c r="L201" s="600" t="s">
        <v>863</v>
      </c>
      <c r="M201" s="615" t="s">
        <v>865</v>
      </c>
      <c r="N201" s="612"/>
      <c r="O201" s="613"/>
    </row>
    <row r="202" spans="2:15" ht="15.75" customHeight="1">
      <c r="B202" s="607" t="s">
        <v>811</v>
      </c>
      <c r="C202" s="607" t="s">
        <v>812</v>
      </c>
      <c r="D202" s="608" t="s">
        <v>404</v>
      </c>
      <c r="E202" s="616" t="s">
        <v>444</v>
      </c>
      <c r="F202" s="608"/>
      <c r="G202" s="617"/>
      <c r="I202" s="509"/>
      <c r="J202" s="670" t="s">
        <v>829</v>
      </c>
      <c r="K202" s="670"/>
      <c r="L202" s="670"/>
      <c r="M202" s="670"/>
      <c r="N202" s="670"/>
      <c r="O202" s="670"/>
    </row>
    <row r="203" spans="2:15" ht="15.75" customHeight="1">
      <c r="B203" s="614">
        <v>0.58333333333333304</v>
      </c>
      <c r="C203" s="608">
        <v>1</v>
      </c>
      <c r="D203" s="537" t="s">
        <v>484</v>
      </c>
      <c r="E203" s="537" t="s">
        <v>758</v>
      </c>
      <c r="F203" s="618"/>
      <c r="G203" s="612"/>
      <c r="I203" s="509"/>
      <c r="J203" s="610">
        <v>0.58333333333333304</v>
      </c>
      <c r="K203" s="608">
        <v>7</v>
      </c>
      <c r="L203" s="600" t="s">
        <v>951</v>
      </c>
      <c r="M203" s="600" t="s">
        <v>824</v>
      </c>
      <c r="N203" s="612"/>
      <c r="O203" s="613"/>
    </row>
    <row r="204" spans="2:15" ht="15.75" customHeight="1">
      <c r="B204" s="614">
        <v>0.59722222222222199</v>
      </c>
      <c r="C204" s="608">
        <v>2</v>
      </c>
      <c r="D204" s="537" t="s">
        <v>499</v>
      </c>
      <c r="E204" s="537" t="s">
        <v>766</v>
      </c>
      <c r="F204" s="612"/>
      <c r="G204" s="612"/>
      <c r="I204" s="509" t="s">
        <v>0</v>
      </c>
      <c r="J204" s="610">
        <v>0.59722222222222199</v>
      </c>
      <c r="K204" s="608">
        <v>8</v>
      </c>
      <c r="L204" s="672" t="s">
        <v>819</v>
      </c>
      <c r="M204" s="672"/>
      <c r="N204" s="612"/>
      <c r="O204" s="613"/>
    </row>
    <row r="205" spans="2:15" ht="15.75" customHeight="1">
      <c r="B205" s="614">
        <v>0.61111111111111105</v>
      </c>
      <c r="C205" s="608">
        <v>3</v>
      </c>
      <c r="D205" s="537" t="s">
        <v>505</v>
      </c>
      <c r="E205" s="537" t="s">
        <v>770</v>
      </c>
      <c r="F205" s="608"/>
      <c r="G205" s="608"/>
      <c r="I205" s="509"/>
      <c r="J205" s="614">
        <v>0.61805555555555602</v>
      </c>
      <c r="K205" s="608">
        <v>9</v>
      </c>
      <c r="L205" s="600" t="s">
        <v>820</v>
      </c>
      <c r="M205" s="600" t="s">
        <v>952</v>
      </c>
      <c r="N205" s="608"/>
      <c r="O205" s="608"/>
    </row>
    <row r="206" spans="2:15">
      <c r="B206" s="614">
        <v>0.625</v>
      </c>
      <c r="C206" s="608">
        <v>4</v>
      </c>
      <c r="D206" s="537" t="s">
        <v>491</v>
      </c>
      <c r="E206" s="537" t="s">
        <v>761</v>
      </c>
      <c r="F206" s="608"/>
      <c r="G206" s="608"/>
      <c r="I206" s="509"/>
      <c r="J206" s="614">
        <v>0.63194444444444398</v>
      </c>
      <c r="K206" s="608">
        <v>10</v>
      </c>
      <c r="L206" s="672" t="s">
        <v>823</v>
      </c>
      <c r="M206" s="672"/>
      <c r="N206" s="617"/>
      <c r="O206" s="608"/>
    </row>
    <row r="207" spans="2:15">
      <c r="B207" s="614"/>
      <c r="C207" s="608"/>
      <c r="D207" s="608"/>
      <c r="E207" s="612"/>
      <c r="F207" s="608"/>
      <c r="G207" s="608"/>
      <c r="I207" s="509"/>
      <c r="J207" s="614">
        <v>0.64583333333333304</v>
      </c>
      <c r="K207" s="608">
        <v>11</v>
      </c>
      <c r="L207" s="604" t="s">
        <v>953</v>
      </c>
      <c r="M207" s="600" t="s">
        <v>828</v>
      </c>
      <c r="N207" s="617"/>
      <c r="O207" s="608"/>
    </row>
    <row r="208" spans="2:15">
      <c r="B208" s="614"/>
      <c r="C208" s="608"/>
      <c r="D208" s="612"/>
      <c r="E208" s="612"/>
      <c r="F208" s="608"/>
      <c r="G208" s="608"/>
      <c r="I208" s="509"/>
      <c r="J208" s="614">
        <v>0.65972222222222199</v>
      </c>
      <c r="K208" s="608">
        <v>12</v>
      </c>
      <c r="L208" s="669" t="s">
        <v>827</v>
      </c>
      <c r="M208" s="669"/>
      <c r="N208" s="617"/>
      <c r="O208" s="608"/>
    </row>
    <row r="209" spans="2:15">
      <c r="B209" s="596"/>
      <c r="C209" s="597"/>
      <c r="D209" s="598"/>
      <c r="E209" s="598"/>
      <c r="F209" s="597"/>
      <c r="G209" s="597"/>
      <c r="I209" s="509"/>
      <c r="J209" s="509"/>
      <c r="L209" s="508"/>
      <c r="M209" s="508"/>
    </row>
    <row r="210" spans="2:15">
      <c r="C210" s="584" t="s">
        <v>939</v>
      </c>
      <c r="D210" s="585"/>
      <c r="E210" s="586" t="s">
        <v>940</v>
      </c>
      <c r="F210" s="587"/>
      <c r="I210" s="117"/>
      <c r="J210" s="584" t="s">
        <v>939</v>
      </c>
      <c r="K210" s="585"/>
      <c r="L210" s="586" t="s">
        <v>940</v>
      </c>
      <c r="M210" s="587"/>
    </row>
    <row r="211" spans="2:15" ht="18.75" thickBot="1">
      <c r="B211" s="509"/>
      <c r="E211" s="521" t="s">
        <v>954</v>
      </c>
      <c r="F211" s="521"/>
      <c r="I211" s="509"/>
      <c r="J211" s="509"/>
      <c r="L211" s="521" t="s">
        <v>955</v>
      </c>
      <c r="M211" s="521"/>
      <c r="N211" s="521"/>
      <c r="O211" s="508"/>
    </row>
    <row r="212" spans="2:15" ht="18" thickTop="1">
      <c r="B212" s="509"/>
      <c r="C212" s="522" t="s">
        <v>372</v>
      </c>
      <c r="D212" s="619" t="s">
        <v>802</v>
      </c>
      <c r="E212" s="620" t="s">
        <v>956</v>
      </c>
      <c r="F212" s="620" t="s">
        <v>957</v>
      </c>
      <c r="G212" s="621"/>
      <c r="I212" s="509"/>
      <c r="J212" s="606" t="s">
        <v>805</v>
      </c>
      <c r="K212" s="606" t="s">
        <v>806</v>
      </c>
      <c r="L212" s="667" t="s">
        <v>807</v>
      </c>
      <c r="M212" s="667"/>
      <c r="N212" s="667"/>
      <c r="O212" s="667"/>
    </row>
    <row r="213" spans="2:15">
      <c r="B213" s="509"/>
      <c r="C213" s="527"/>
      <c r="D213" s="622" t="s">
        <v>808</v>
      </c>
      <c r="E213" s="623" t="s">
        <v>809</v>
      </c>
      <c r="F213" s="624" t="s">
        <v>810</v>
      </c>
      <c r="G213" s="625"/>
      <c r="I213" s="509"/>
      <c r="J213" s="607" t="s">
        <v>811</v>
      </c>
      <c r="K213" s="607" t="s">
        <v>812</v>
      </c>
      <c r="L213" s="608" t="s">
        <v>404</v>
      </c>
      <c r="M213" s="608" t="s">
        <v>444</v>
      </c>
      <c r="N213" s="609"/>
      <c r="O213" s="608"/>
    </row>
    <row r="214" spans="2:15" ht="17.25" customHeight="1">
      <c r="B214" s="534"/>
      <c r="C214" s="527"/>
      <c r="D214" s="622" t="s">
        <v>813</v>
      </c>
      <c r="E214" s="622" t="s">
        <v>814</v>
      </c>
      <c r="F214" s="626" t="s">
        <v>397</v>
      </c>
      <c r="G214" s="625"/>
      <c r="I214" s="509"/>
      <c r="J214" s="610">
        <v>0.375</v>
      </c>
      <c r="K214" s="608">
        <v>1</v>
      </c>
      <c r="L214" s="604" t="s">
        <v>924</v>
      </c>
      <c r="M214" s="627"/>
      <c r="N214" s="611"/>
      <c r="O214" s="612"/>
    </row>
    <row r="215" spans="2:15" ht="18" customHeight="1" thickBot="1">
      <c r="B215" s="509"/>
      <c r="C215" s="541"/>
      <c r="D215" s="628" t="s">
        <v>817</v>
      </c>
      <c r="E215" s="629" t="s">
        <v>398</v>
      </c>
      <c r="F215" s="630" t="s">
        <v>818</v>
      </c>
      <c r="G215" s="631"/>
      <c r="I215" s="509"/>
      <c r="J215" s="610">
        <v>0.38888888888888901</v>
      </c>
      <c r="K215" s="608">
        <v>2</v>
      </c>
      <c r="L215" s="602" t="s">
        <v>925</v>
      </c>
      <c r="M215" s="613"/>
      <c r="N215" s="612"/>
      <c r="O215" s="613"/>
    </row>
    <row r="216" spans="2:15" ht="18" customHeight="1" thickTop="1">
      <c r="B216" s="509"/>
      <c r="D216" s="632"/>
      <c r="E216" s="632"/>
      <c r="F216" s="632"/>
      <c r="G216" s="632"/>
      <c r="I216" s="509"/>
      <c r="J216" s="610">
        <v>0.40277777777777801</v>
      </c>
      <c r="K216" s="608">
        <v>3</v>
      </c>
      <c r="L216" s="602" t="s">
        <v>928</v>
      </c>
      <c r="M216" s="613"/>
      <c r="N216" s="612"/>
      <c r="O216" s="613"/>
    </row>
    <row r="217" spans="2:15" ht="17.25" customHeight="1">
      <c r="B217" s="509"/>
      <c r="D217" s="632"/>
      <c r="E217" s="632"/>
      <c r="F217" s="632"/>
      <c r="G217" s="632"/>
      <c r="I217" s="509"/>
      <c r="J217" s="610">
        <v>0.41666666666666702</v>
      </c>
      <c r="K217" s="606">
        <v>4</v>
      </c>
      <c r="L217" s="602" t="s">
        <v>929</v>
      </c>
      <c r="M217" s="613"/>
      <c r="N217" s="612"/>
      <c r="O217" s="613"/>
    </row>
    <row r="218" spans="2:15" ht="17.25" customHeight="1">
      <c r="B218" s="509"/>
      <c r="F218" s="508"/>
      <c r="G218" s="508"/>
      <c r="I218" s="509"/>
      <c r="J218" s="614">
        <v>0.43055555555555602</v>
      </c>
      <c r="K218" s="608">
        <v>5</v>
      </c>
      <c r="L218" s="602" t="s">
        <v>932</v>
      </c>
      <c r="M218" s="627"/>
      <c r="N218" s="612"/>
      <c r="O218" s="613"/>
    </row>
    <row r="219" spans="2:15" ht="17.25" customHeight="1">
      <c r="B219" s="606" t="s">
        <v>805</v>
      </c>
      <c r="C219" s="606" t="s">
        <v>806</v>
      </c>
      <c r="D219" s="667" t="s">
        <v>807</v>
      </c>
      <c r="E219" s="667"/>
      <c r="F219" s="667"/>
      <c r="G219" s="667"/>
      <c r="I219" s="509"/>
      <c r="J219" s="614">
        <v>0.44444444444444398</v>
      </c>
      <c r="K219" s="608">
        <v>6</v>
      </c>
      <c r="L219" s="602" t="s">
        <v>933</v>
      </c>
      <c r="M219" s="608"/>
      <c r="N219" s="612"/>
      <c r="O219" s="613"/>
    </row>
    <row r="220" spans="2:15" ht="17.25" customHeight="1">
      <c r="B220" s="607" t="s">
        <v>811</v>
      </c>
      <c r="C220" s="607" t="s">
        <v>812</v>
      </c>
      <c r="D220" s="608" t="s">
        <v>404</v>
      </c>
      <c r="E220" s="608" t="s">
        <v>444</v>
      </c>
      <c r="F220" s="609"/>
      <c r="G220" s="608"/>
      <c r="I220" s="509"/>
      <c r="J220" s="670" t="s">
        <v>829</v>
      </c>
      <c r="K220" s="670"/>
      <c r="L220" s="670"/>
      <c r="M220" s="670"/>
      <c r="N220" s="670"/>
      <c r="O220" s="670"/>
    </row>
    <row r="221" spans="2:15" ht="17.25" customHeight="1">
      <c r="B221" s="614">
        <v>0.58333333333333304</v>
      </c>
      <c r="C221" s="608">
        <v>1</v>
      </c>
      <c r="D221" s="600" t="s">
        <v>815</v>
      </c>
      <c r="E221" s="612"/>
      <c r="F221" s="612"/>
      <c r="G221" s="612"/>
      <c r="I221" s="509"/>
      <c r="J221" s="610"/>
      <c r="K221" s="608"/>
      <c r="L221" s="612"/>
      <c r="M221" s="613"/>
      <c r="N221" s="612"/>
      <c r="O221" s="613"/>
    </row>
    <row r="222" spans="2:15" ht="17.25" customHeight="1">
      <c r="B222" s="614">
        <v>0.59722222222222199</v>
      </c>
      <c r="C222" s="608">
        <v>2</v>
      </c>
      <c r="D222" s="600" t="s">
        <v>816</v>
      </c>
      <c r="E222" s="612"/>
      <c r="F222" s="612"/>
      <c r="G222" s="612"/>
      <c r="I222" s="509"/>
      <c r="J222" s="610"/>
      <c r="K222" s="608"/>
      <c r="L222" s="612"/>
      <c r="M222" s="613"/>
      <c r="N222" s="612"/>
      <c r="O222" s="613"/>
    </row>
    <row r="223" spans="2:15" ht="17.25" customHeight="1">
      <c r="B223" s="614">
        <v>0.61111111111111105</v>
      </c>
      <c r="C223" s="608">
        <v>3</v>
      </c>
      <c r="D223" s="600" t="s">
        <v>821</v>
      </c>
      <c r="E223" s="612"/>
      <c r="F223" s="608"/>
      <c r="G223" s="608"/>
      <c r="I223" s="509"/>
      <c r="J223" s="614"/>
      <c r="K223" s="608"/>
      <c r="L223" s="608"/>
      <c r="M223" s="608"/>
      <c r="N223" s="608"/>
      <c r="O223" s="608"/>
    </row>
    <row r="224" spans="2:15" ht="17.25" customHeight="1">
      <c r="B224" s="614">
        <v>0.625</v>
      </c>
      <c r="C224" s="608">
        <v>4</v>
      </c>
      <c r="D224" s="600" t="s">
        <v>822</v>
      </c>
      <c r="E224" s="612"/>
      <c r="F224" s="608"/>
      <c r="G224" s="608"/>
      <c r="I224" s="509"/>
      <c r="J224" s="614"/>
      <c r="K224" s="608"/>
      <c r="L224" s="606"/>
      <c r="M224" s="612"/>
      <c r="N224" s="608"/>
      <c r="O224" s="608"/>
    </row>
    <row r="225" spans="2:16" ht="17.25" customHeight="1">
      <c r="B225" s="614">
        <v>0.63888888888888895</v>
      </c>
      <c r="C225" s="608">
        <v>5</v>
      </c>
      <c r="D225" s="600" t="s">
        <v>825</v>
      </c>
      <c r="E225" s="612"/>
      <c r="F225" s="608"/>
      <c r="G225" s="608"/>
      <c r="I225" s="509"/>
      <c r="J225" s="614"/>
      <c r="K225" s="608"/>
      <c r="L225" s="608"/>
      <c r="M225" s="613"/>
      <c r="N225" s="608"/>
      <c r="O225" s="608"/>
    </row>
    <row r="226" spans="2:16" ht="17.25" customHeight="1">
      <c r="B226" s="614">
        <v>0.65277777777777801</v>
      </c>
      <c r="C226" s="608">
        <v>6</v>
      </c>
      <c r="D226" s="600" t="s">
        <v>826</v>
      </c>
      <c r="E226" s="612"/>
      <c r="F226" s="608"/>
      <c r="G226" s="608"/>
      <c r="I226" s="509"/>
      <c r="J226" s="614"/>
      <c r="K226" s="608"/>
      <c r="L226" s="612"/>
      <c r="M226" s="612"/>
      <c r="N226" s="608"/>
      <c r="O226" s="608"/>
    </row>
    <row r="227" spans="2:16">
      <c r="B227" s="596"/>
      <c r="C227" s="597"/>
      <c r="D227" s="598"/>
      <c r="E227" s="598"/>
      <c r="F227" s="597"/>
      <c r="G227" s="597"/>
      <c r="I227" s="509"/>
      <c r="J227" s="596"/>
      <c r="K227" s="597"/>
      <c r="L227" s="598"/>
      <c r="M227" s="598"/>
      <c r="N227" s="597"/>
      <c r="O227" s="597"/>
    </row>
    <row r="228" spans="2:16">
      <c r="C228" s="584" t="s">
        <v>939</v>
      </c>
      <c r="D228" s="585"/>
      <c r="E228" s="586" t="s">
        <v>940</v>
      </c>
      <c r="F228" s="587"/>
      <c r="K228" s="584" t="s">
        <v>939</v>
      </c>
      <c r="L228" s="585"/>
      <c r="M228" s="586" t="s">
        <v>940</v>
      </c>
      <c r="N228" s="587"/>
    </row>
    <row r="229" spans="2:16" ht="18.75" thickBot="1">
      <c r="B229" s="509"/>
      <c r="E229" s="521" t="s">
        <v>958</v>
      </c>
      <c r="F229" s="521"/>
      <c r="I229" s="509"/>
      <c r="J229" s="509"/>
      <c r="L229" s="521" t="s">
        <v>959</v>
      </c>
      <c r="M229" s="521"/>
      <c r="N229" s="521"/>
      <c r="O229" s="508"/>
    </row>
    <row r="230" spans="2:16" ht="18" thickTop="1">
      <c r="B230" s="509"/>
      <c r="C230" s="522" t="s">
        <v>372</v>
      </c>
      <c r="D230" s="619" t="s">
        <v>802</v>
      </c>
      <c r="E230" s="620" t="s">
        <v>956</v>
      </c>
      <c r="F230" s="620" t="s">
        <v>957</v>
      </c>
      <c r="G230" s="621"/>
      <c r="I230" s="509"/>
      <c r="J230" s="606" t="s">
        <v>805</v>
      </c>
      <c r="K230" s="606" t="s">
        <v>806</v>
      </c>
      <c r="L230" s="667" t="s">
        <v>807</v>
      </c>
      <c r="M230" s="667"/>
      <c r="N230" s="667"/>
      <c r="O230" s="667"/>
    </row>
    <row r="231" spans="2:16">
      <c r="B231" s="509"/>
      <c r="C231" s="527"/>
      <c r="D231" s="622" t="s">
        <v>808</v>
      </c>
      <c r="E231" s="623" t="s">
        <v>809</v>
      </c>
      <c r="F231" s="624" t="s">
        <v>810</v>
      </c>
      <c r="G231" s="625"/>
      <c r="I231" s="509"/>
      <c r="J231" s="607" t="s">
        <v>811</v>
      </c>
      <c r="K231" s="607" t="s">
        <v>812</v>
      </c>
      <c r="L231" s="606" t="s">
        <v>404</v>
      </c>
      <c r="M231" s="606" t="s">
        <v>444</v>
      </c>
      <c r="N231" s="609"/>
      <c r="O231" s="608"/>
    </row>
    <row r="232" spans="2:16" ht="17.25" customHeight="1">
      <c r="B232" s="534"/>
      <c r="C232" s="527"/>
      <c r="D232" s="622" t="s">
        <v>813</v>
      </c>
      <c r="E232" s="622" t="s">
        <v>814</v>
      </c>
      <c r="F232" s="626" t="s">
        <v>397</v>
      </c>
      <c r="G232" s="625"/>
      <c r="I232" s="509"/>
      <c r="J232" s="610">
        <v>0.375</v>
      </c>
      <c r="K232" s="616">
        <v>1</v>
      </c>
      <c r="L232" s="600" t="s">
        <v>887</v>
      </c>
      <c r="M232" s="604" t="s">
        <v>888</v>
      </c>
      <c r="N232" s="633"/>
      <c r="O232" s="612"/>
      <c r="P232" s="634"/>
    </row>
    <row r="233" spans="2:16" ht="18" thickBot="1">
      <c r="B233" s="509"/>
      <c r="C233" s="541"/>
      <c r="D233" s="628" t="s">
        <v>817</v>
      </c>
      <c r="E233" s="629" t="s">
        <v>398</v>
      </c>
      <c r="F233" s="630" t="s">
        <v>818</v>
      </c>
      <c r="G233" s="631"/>
      <c r="I233" s="509"/>
      <c r="J233" s="610">
        <v>0.38888888888888901</v>
      </c>
      <c r="K233" s="616">
        <v>2</v>
      </c>
      <c r="L233" s="600" t="s">
        <v>830</v>
      </c>
      <c r="M233" s="600" t="s">
        <v>831</v>
      </c>
      <c r="N233" s="635"/>
      <c r="O233" s="635"/>
    </row>
    <row r="234" spans="2:16" ht="18" thickTop="1">
      <c r="B234" s="509"/>
      <c r="D234" s="632"/>
      <c r="E234" s="632"/>
      <c r="F234" s="632"/>
      <c r="G234" s="632"/>
      <c r="I234" s="509"/>
      <c r="J234" s="610">
        <v>0.40277777777777801</v>
      </c>
      <c r="K234" s="636">
        <v>3</v>
      </c>
      <c r="L234" s="600" t="s">
        <v>893</v>
      </c>
      <c r="M234" s="600" t="s">
        <v>894</v>
      </c>
      <c r="N234" s="635"/>
      <c r="O234" s="635"/>
    </row>
    <row r="235" spans="2:16">
      <c r="B235" s="509"/>
      <c r="D235" s="632"/>
      <c r="E235" s="632"/>
      <c r="F235" s="632"/>
      <c r="G235" s="632"/>
      <c r="I235" s="509"/>
      <c r="J235" s="610">
        <v>0.41666666666666702</v>
      </c>
      <c r="K235" s="616">
        <v>4</v>
      </c>
      <c r="L235" s="600" t="s">
        <v>835</v>
      </c>
      <c r="M235" s="600" t="s">
        <v>836</v>
      </c>
      <c r="N235" s="637"/>
      <c r="O235" s="637"/>
    </row>
    <row r="236" spans="2:16">
      <c r="B236" s="509"/>
      <c r="F236" s="508"/>
      <c r="G236" s="508"/>
      <c r="I236" s="509"/>
      <c r="J236" s="614">
        <v>0.43055555555555602</v>
      </c>
      <c r="K236" s="616">
        <v>5</v>
      </c>
      <c r="L236" s="600" t="s">
        <v>898</v>
      </c>
      <c r="M236" s="604" t="s">
        <v>899</v>
      </c>
      <c r="N236" s="613"/>
      <c r="O236" s="612"/>
    </row>
    <row r="237" spans="2:16">
      <c r="B237" s="606" t="s">
        <v>805</v>
      </c>
      <c r="C237" s="606" t="s">
        <v>806</v>
      </c>
      <c r="D237" s="667" t="s">
        <v>807</v>
      </c>
      <c r="E237" s="667"/>
      <c r="F237" s="667"/>
      <c r="G237" s="667"/>
      <c r="H237" s="508"/>
      <c r="I237" s="509"/>
      <c r="J237" s="614">
        <v>0.44444444444444398</v>
      </c>
      <c r="K237" s="616">
        <v>6</v>
      </c>
      <c r="L237" s="600" t="s">
        <v>840</v>
      </c>
      <c r="M237" s="600" t="s">
        <v>841</v>
      </c>
      <c r="N237" s="633"/>
      <c r="O237" s="608"/>
    </row>
    <row r="238" spans="2:16">
      <c r="B238" s="607" t="s">
        <v>811</v>
      </c>
      <c r="C238" s="607" t="s">
        <v>812</v>
      </c>
      <c r="D238" s="608" t="s">
        <v>404</v>
      </c>
      <c r="E238" s="608" t="s">
        <v>444</v>
      </c>
      <c r="F238" s="609"/>
      <c r="G238" s="608"/>
      <c r="H238" s="560"/>
      <c r="I238" s="509"/>
      <c r="J238" s="668" t="s">
        <v>829</v>
      </c>
      <c r="K238" s="668"/>
      <c r="L238" s="668"/>
      <c r="M238" s="668"/>
      <c r="N238" s="668"/>
      <c r="O238" s="668"/>
    </row>
    <row r="239" spans="2:16">
      <c r="B239" s="614">
        <v>0.58333333333333304</v>
      </c>
      <c r="C239" s="608">
        <v>1</v>
      </c>
      <c r="D239" s="537" t="s">
        <v>960</v>
      </c>
      <c r="E239" s="537" t="s">
        <v>961</v>
      </c>
      <c r="F239" s="612"/>
      <c r="G239" s="612"/>
      <c r="I239" s="509"/>
      <c r="J239" s="638">
        <v>0.58333333333333304</v>
      </c>
      <c r="K239" s="608">
        <v>7</v>
      </c>
      <c r="L239" s="537" t="s">
        <v>962</v>
      </c>
      <c r="M239" s="537" t="s">
        <v>963</v>
      </c>
      <c r="N239" s="639"/>
      <c r="O239" s="639"/>
    </row>
    <row r="240" spans="2:16">
      <c r="B240" s="614">
        <v>0.59722222222222199</v>
      </c>
      <c r="C240" s="608">
        <v>2</v>
      </c>
      <c r="D240" s="537" t="s">
        <v>964</v>
      </c>
      <c r="E240" s="537" t="s">
        <v>965</v>
      </c>
      <c r="F240" s="612"/>
      <c r="G240" s="612"/>
      <c r="I240" s="509"/>
      <c r="J240" s="638">
        <v>0.59722222222222199</v>
      </c>
      <c r="K240" s="608">
        <v>8</v>
      </c>
      <c r="L240" s="537" t="s">
        <v>966</v>
      </c>
      <c r="M240" s="537" t="s">
        <v>967</v>
      </c>
      <c r="N240" s="639"/>
      <c r="O240" s="639"/>
    </row>
    <row r="241" spans="2:20">
      <c r="B241" s="614">
        <v>0.61111111111111105</v>
      </c>
      <c r="C241" s="608">
        <v>3</v>
      </c>
      <c r="D241" s="537" t="s">
        <v>968</v>
      </c>
      <c r="E241" s="537" t="s">
        <v>969</v>
      </c>
      <c r="F241" s="608"/>
      <c r="G241" s="608"/>
      <c r="I241" s="509"/>
      <c r="J241" s="638">
        <v>0.61111111111111105</v>
      </c>
      <c r="K241" s="608">
        <v>9</v>
      </c>
      <c r="L241" s="537" t="s">
        <v>970</v>
      </c>
      <c r="M241" s="537" t="s">
        <v>971</v>
      </c>
      <c r="N241" s="639"/>
      <c r="O241" s="639"/>
    </row>
    <row r="242" spans="2:20">
      <c r="B242" s="614">
        <v>0.625</v>
      </c>
      <c r="C242" s="608">
        <v>4</v>
      </c>
      <c r="D242" s="537" t="s">
        <v>972</v>
      </c>
      <c r="E242" s="537" t="s">
        <v>973</v>
      </c>
      <c r="F242" s="608"/>
      <c r="G242" s="608"/>
      <c r="I242" s="509"/>
      <c r="J242" s="640">
        <v>0.625</v>
      </c>
      <c r="K242" s="608">
        <v>10</v>
      </c>
      <c r="L242" s="537" t="s">
        <v>974</v>
      </c>
      <c r="M242" s="537" t="s">
        <v>975</v>
      </c>
      <c r="N242" s="641"/>
      <c r="O242" s="608"/>
    </row>
    <row r="243" spans="2:20" s="508" customFormat="1">
      <c r="B243" s="614"/>
      <c r="C243" s="608"/>
      <c r="D243" s="608"/>
      <c r="E243" s="612"/>
      <c r="F243" s="608"/>
      <c r="G243" s="608"/>
      <c r="H243" s="509"/>
      <c r="I243" s="509"/>
      <c r="N243" s="598"/>
      <c r="P243" s="509"/>
      <c r="Q243" s="509"/>
      <c r="R243" s="509"/>
      <c r="T243" s="509"/>
    </row>
    <row r="244" spans="2:20" s="508" customFormat="1">
      <c r="B244" s="614"/>
      <c r="C244" s="608"/>
      <c r="D244" s="612"/>
      <c r="E244" s="612"/>
      <c r="F244" s="608"/>
      <c r="G244" s="608"/>
      <c r="H244" s="509"/>
      <c r="I244" s="509"/>
      <c r="J244" s="509"/>
      <c r="N244" s="598"/>
      <c r="P244" s="509"/>
      <c r="Q244" s="509"/>
      <c r="R244" s="509"/>
      <c r="T244" s="509"/>
    </row>
    <row r="245" spans="2:20" s="508" customFormat="1">
      <c r="B245" s="509"/>
      <c r="C245" s="560"/>
      <c r="D245" s="509"/>
      <c r="E245" s="509"/>
      <c r="F245" s="509"/>
      <c r="N245" s="598"/>
      <c r="P245" s="509" t="s">
        <v>976</v>
      </c>
      <c r="Q245" s="509"/>
      <c r="R245" s="509"/>
      <c r="T245" s="509"/>
    </row>
    <row r="246" spans="2:20" s="508" customFormat="1">
      <c r="B246" s="509"/>
      <c r="C246" s="560"/>
      <c r="D246" s="509"/>
      <c r="E246" s="509"/>
      <c r="F246" s="509"/>
      <c r="N246" s="598"/>
      <c r="P246" s="509"/>
      <c r="Q246" s="509"/>
      <c r="R246" s="509"/>
      <c r="T246" s="509"/>
    </row>
    <row r="247" spans="2:20" ht="18.75" thickBot="1">
      <c r="B247" s="509"/>
      <c r="E247" s="521" t="s">
        <v>977</v>
      </c>
      <c r="F247" s="521"/>
      <c r="I247" s="509"/>
      <c r="J247" s="509"/>
      <c r="L247" s="521" t="s">
        <v>978</v>
      </c>
      <c r="M247" s="521"/>
      <c r="N247" s="521"/>
      <c r="P247" s="560"/>
    </row>
    <row r="248" spans="2:20" ht="18" customHeight="1" thickTop="1">
      <c r="B248" s="509"/>
      <c r="C248" s="522" t="s">
        <v>372</v>
      </c>
      <c r="D248" s="619" t="s">
        <v>802</v>
      </c>
      <c r="E248" s="620" t="s">
        <v>956</v>
      </c>
      <c r="F248" s="620" t="s">
        <v>957</v>
      </c>
      <c r="G248" s="621"/>
      <c r="I248" s="509"/>
      <c r="J248" s="666" t="s">
        <v>936</v>
      </c>
      <c r="K248" s="666"/>
      <c r="L248" s="666"/>
      <c r="M248" s="666"/>
      <c r="N248" s="666"/>
      <c r="O248" s="666"/>
    </row>
    <row r="249" spans="2:20" ht="17.25" customHeight="1">
      <c r="B249" s="509"/>
      <c r="C249" s="527"/>
      <c r="D249" s="622" t="s">
        <v>808</v>
      </c>
      <c r="E249" s="623" t="s">
        <v>809</v>
      </c>
      <c r="F249" s="624" t="s">
        <v>810</v>
      </c>
      <c r="G249" s="625"/>
      <c r="I249" s="509"/>
      <c r="J249" s="666"/>
      <c r="K249" s="666"/>
      <c r="L249" s="666"/>
      <c r="M249" s="666"/>
      <c r="N249" s="666"/>
      <c r="O249" s="666"/>
    </row>
    <row r="250" spans="2:20" ht="17.25" customHeight="1">
      <c r="B250" s="534"/>
      <c r="C250" s="527"/>
      <c r="D250" s="622" t="s">
        <v>813</v>
      </c>
      <c r="E250" s="622" t="s">
        <v>814</v>
      </c>
      <c r="F250" s="626" t="s">
        <v>397</v>
      </c>
      <c r="G250" s="625"/>
      <c r="I250" s="509"/>
      <c r="J250" s="666"/>
      <c r="K250" s="666"/>
      <c r="L250" s="666"/>
      <c r="M250" s="666"/>
      <c r="N250" s="666"/>
      <c r="O250" s="666"/>
    </row>
    <row r="251" spans="2:20" ht="18" customHeight="1" thickBot="1">
      <c r="B251" s="509"/>
      <c r="C251" s="541"/>
      <c r="D251" s="628" t="s">
        <v>817</v>
      </c>
      <c r="E251" s="629" t="s">
        <v>398</v>
      </c>
      <c r="F251" s="630" t="s">
        <v>818</v>
      </c>
      <c r="G251" s="631"/>
      <c r="I251" s="509"/>
      <c r="J251" s="666"/>
      <c r="K251" s="666"/>
      <c r="L251" s="666"/>
      <c r="M251" s="666"/>
      <c r="N251" s="666"/>
      <c r="O251" s="666"/>
    </row>
    <row r="252" spans="2:20" ht="18" customHeight="1" thickTop="1">
      <c r="B252" s="509"/>
      <c r="D252" s="632"/>
      <c r="E252" s="632"/>
      <c r="F252" s="632"/>
      <c r="G252" s="632"/>
      <c r="I252" s="509"/>
      <c r="J252" s="666"/>
      <c r="K252" s="666"/>
      <c r="L252" s="666"/>
      <c r="M252" s="666"/>
      <c r="N252" s="666"/>
      <c r="O252" s="666"/>
    </row>
    <row r="253" spans="2:20" ht="17.25" customHeight="1">
      <c r="B253" s="509"/>
      <c r="D253" s="632"/>
      <c r="E253" s="632"/>
      <c r="F253" s="632"/>
      <c r="G253" s="632"/>
      <c r="I253" s="509"/>
      <c r="J253" s="666"/>
      <c r="K253" s="666"/>
      <c r="L253" s="666"/>
      <c r="M253" s="666"/>
      <c r="N253" s="666"/>
      <c r="O253" s="666"/>
    </row>
    <row r="254" spans="2:20" ht="17.25" customHeight="1">
      <c r="B254" s="509"/>
      <c r="F254" s="508"/>
      <c r="G254" s="508"/>
      <c r="I254" s="509"/>
      <c r="J254" s="666"/>
      <c r="K254" s="666"/>
      <c r="L254" s="666"/>
      <c r="M254" s="666"/>
      <c r="N254" s="666"/>
      <c r="O254" s="666"/>
    </row>
    <row r="255" spans="2:20" ht="17.25" customHeight="1">
      <c r="B255" s="666" t="s">
        <v>936</v>
      </c>
      <c r="C255" s="666"/>
      <c r="D255" s="666"/>
      <c r="E255" s="666"/>
      <c r="F255" s="666"/>
      <c r="G255" s="666"/>
      <c r="I255" s="509"/>
      <c r="J255" s="666"/>
      <c r="K255" s="666"/>
      <c r="L255" s="666"/>
      <c r="M255" s="666"/>
      <c r="N255" s="666"/>
      <c r="O255" s="666"/>
    </row>
    <row r="256" spans="2:20" ht="17.25" customHeight="1">
      <c r="B256" s="666"/>
      <c r="C256" s="666"/>
      <c r="D256" s="666"/>
      <c r="E256" s="666"/>
      <c r="F256" s="666"/>
      <c r="G256" s="666"/>
      <c r="I256" s="509"/>
      <c r="J256" s="666"/>
      <c r="K256" s="666"/>
      <c r="L256" s="666"/>
      <c r="M256" s="666"/>
      <c r="N256" s="666"/>
      <c r="O256" s="666"/>
    </row>
    <row r="257" spans="2:20" ht="17.25" customHeight="1">
      <c r="B257" s="666"/>
      <c r="C257" s="666"/>
      <c r="D257" s="666"/>
      <c r="E257" s="666"/>
      <c r="F257" s="666"/>
      <c r="G257" s="666"/>
      <c r="I257" s="509"/>
      <c r="J257" s="666"/>
      <c r="K257" s="666"/>
      <c r="L257" s="666"/>
      <c r="M257" s="666"/>
      <c r="N257" s="666"/>
      <c r="O257" s="666"/>
    </row>
    <row r="258" spans="2:20" ht="17.25" customHeight="1">
      <c r="B258" s="666"/>
      <c r="C258" s="666"/>
      <c r="D258" s="666"/>
      <c r="E258" s="666"/>
      <c r="F258" s="666"/>
      <c r="G258" s="666"/>
      <c r="I258" s="509"/>
      <c r="J258" s="666"/>
      <c r="K258" s="666"/>
      <c r="L258" s="666"/>
      <c r="M258" s="666"/>
      <c r="N258" s="666"/>
      <c r="O258" s="666"/>
    </row>
    <row r="259" spans="2:20" ht="17.25" customHeight="1">
      <c r="B259" s="666"/>
      <c r="C259" s="666"/>
      <c r="D259" s="666"/>
      <c r="E259" s="666"/>
      <c r="F259" s="666"/>
      <c r="G259" s="666"/>
      <c r="I259" s="509"/>
      <c r="J259" s="666"/>
      <c r="K259" s="666"/>
      <c r="L259" s="666"/>
      <c r="M259" s="666"/>
      <c r="N259" s="666"/>
      <c r="O259" s="666"/>
    </row>
    <row r="260" spans="2:20">
      <c r="B260" s="666"/>
      <c r="C260" s="666"/>
      <c r="D260" s="666"/>
      <c r="E260" s="666"/>
      <c r="F260" s="666"/>
      <c r="G260" s="666"/>
      <c r="I260" s="509"/>
      <c r="J260" s="534"/>
      <c r="K260" s="509"/>
      <c r="M260" s="117"/>
      <c r="N260" s="509"/>
    </row>
    <row r="261" spans="2:20" s="508" customFormat="1">
      <c r="B261" s="666"/>
      <c r="C261" s="666"/>
      <c r="D261" s="666"/>
      <c r="E261" s="666"/>
      <c r="F261" s="666"/>
      <c r="G261" s="666"/>
      <c r="H261" s="509"/>
      <c r="I261" s="509"/>
      <c r="J261" s="509"/>
      <c r="P261" s="509"/>
      <c r="Q261" s="509"/>
      <c r="R261" s="509"/>
      <c r="T261" s="509"/>
    </row>
    <row r="262" spans="2:20" s="508" customFormat="1">
      <c r="B262" s="666"/>
      <c r="C262" s="666"/>
      <c r="D262" s="666"/>
      <c r="E262" s="666"/>
      <c r="F262" s="666"/>
      <c r="G262" s="666"/>
      <c r="H262" s="509"/>
      <c r="I262" s="509"/>
      <c r="J262" s="509"/>
      <c r="P262" s="509"/>
      <c r="Q262" s="509"/>
      <c r="R262" s="509"/>
      <c r="T262" s="509"/>
    </row>
    <row r="263" spans="2:20" s="508" customFormat="1">
      <c r="C263" s="560"/>
      <c r="D263" s="509"/>
      <c r="E263" s="509"/>
      <c r="F263" s="509"/>
      <c r="I263" s="117"/>
      <c r="P263" s="509"/>
      <c r="Q263" s="509"/>
      <c r="R263" s="509"/>
      <c r="T263" s="509"/>
    </row>
    <row r="264" spans="2:20">
      <c r="B264" s="509"/>
      <c r="C264" s="560"/>
      <c r="G264" s="508"/>
      <c r="H264" s="117"/>
      <c r="L264" s="508"/>
      <c r="M264" s="508"/>
      <c r="O264" s="508"/>
    </row>
    <row r="265" spans="2:20" ht="18" thickBot="1">
      <c r="B265" s="509"/>
      <c r="E265" s="521" t="s">
        <v>979</v>
      </c>
      <c r="F265" s="521"/>
      <c r="I265" s="509"/>
      <c r="J265" s="509"/>
      <c r="L265" s="521" t="s">
        <v>980</v>
      </c>
      <c r="M265" s="521"/>
      <c r="N265" s="521"/>
      <c r="O265" s="508"/>
      <c r="P265" s="560"/>
    </row>
    <row r="266" spans="2:20" ht="18" customHeight="1" thickTop="1">
      <c r="B266" s="509"/>
      <c r="C266" s="522" t="s">
        <v>372</v>
      </c>
      <c r="D266" s="619" t="s">
        <v>802</v>
      </c>
      <c r="E266" s="620" t="s">
        <v>956</v>
      </c>
      <c r="F266" s="620" t="s">
        <v>957</v>
      </c>
      <c r="G266" s="621"/>
      <c r="I266" s="509"/>
      <c r="J266" s="666" t="s">
        <v>936</v>
      </c>
      <c r="K266" s="666"/>
      <c r="L266" s="666"/>
      <c r="M266" s="666"/>
      <c r="N266" s="666"/>
      <c r="O266" s="666"/>
    </row>
    <row r="267" spans="2:20" ht="17.25" customHeight="1">
      <c r="B267" s="509"/>
      <c r="C267" s="527"/>
      <c r="D267" s="622" t="s">
        <v>808</v>
      </c>
      <c r="E267" s="623" t="s">
        <v>809</v>
      </c>
      <c r="F267" s="624" t="s">
        <v>810</v>
      </c>
      <c r="G267" s="625"/>
      <c r="I267" s="509"/>
      <c r="J267" s="666"/>
      <c r="K267" s="666"/>
      <c r="L267" s="666"/>
      <c r="M267" s="666"/>
      <c r="N267" s="666"/>
      <c r="O267" s="666"/>
    </row>
    <row r="268" spans="2:20" ht="17.25" customHeight="1">
      <c r="B268" s="534"/>
      <c r="C268" s="527"/>
      <c r="D268" s="622" t="s">
        <v>813</v>
      </c>
      <c r="E268" s="622" t="s">
        <v>814</v>
      </c>
      <c r="F268" s="626" t="s">
        <v>397</v>
      </c>
      <c r="G268" s="625"/>
      <c r="I268" s="509"/>
      <c r="J268" s="666"/>
      <c r="K268" s="666"/>
      <c r="L268" s="666"/>
      <c r="M268" s="666"/>
      <c r="N268" s="666"/>
      <c r="O268" s="666"/>
    </row>
    <row r="269" spans="2:20" ht="18" customHeight="1" thickBot="1">
      <c r="B269" s="509"/>
      <c r="C269" s="541"/>
      <c r="D269" s="628" t="s">
        <v>817</v>
      </c>
      <c r="E269" s="629" t="s">
        <v>398</v>
      </c>
      <c r="F269" s="630" t="s">
        <v>818</v>
      </c>
      <c r="G269" s="631"/>
      <c r="I269" s="509"/>
      <c r="J269" s="666"/>
      <c r="K269" s="666"/>
      <c r="L269" s="666"/>
      <c r="M269" s="666"/>
      <c r="N269" s="666"/>
      <c r="O269" s="666"/>
    </row>
    <row r="270" spans="2:20" ht="18" customHeight="1" thickTop="1">
      <c r="B270" s="509"/>
      <c r="D270" s="632"/>
      <c r="E270" s="632"/>
      <c r="F270" s="632"/>
      <c r="G270" s="632"/>
      <c r="I270" s="509"/>
      <c r="J270" s="666"/>
      <c r="K270" s="666"/>
      <c r="L270" s="666"/>
      <c r="M270" s="666"/>
      <c r="N270" s="666"/>
      <c r="O270" s="666"/>
    </row>
    <row r="271" spans="2:20" ht="17.25" customHeight="1">
      <c r="B271" s="509"/>
      <c r="D271" s="632"/>
      <c r="E271" s="632"/>
      <c r="F271" s="632"/>
      <c r="G271" s="632"/>
      <c r="I271" s="509"/>
      <c r="J271" s="666"/>
      <c r="K271" s="666"/>
      <c r="L271" s="666"/>
      <c r="M271" s="666"/>
      <c r="N271" s="666"/>
      <c r="O271" s="666"/>
    </row>
    <row r="272" spans="2:20" ht="17.25" customHeight="1">
      <c r="B272" s="509"/>
      <c r="F272" s="508"/>
      <c r="G272" s="508"/>
      <c r="I272" s="509"/>
      <c r="J272" s="666"/>
      <c r="K272" s="666"/>
      <c r="L272" s="666"/>
      <c r="M272" s="666"/>
      <c r="N272" s="666"/>
      <c r="O272" s="666"/>
    </row>
    <row r="273" spans="2:20" ht="17.25" customHeight="1">
      <c r="B273" s="666" t="s">
        <v>936</v>
      </c>
      <c r="C273" s="666"/>
      <c r="D273" s="666"/>
      <c r="E273" s="666"/>
      <c r="F273" s="666"/>
      <c r="G273" s="666"/>
      <c r="I273" s="509"/>
      <c r="J273" s="666"/>
      <c r="K273" s="666"/>
      <c r="L273" s="666"/>
      <c r="M273" s="666"/>
      <c r="N273" s="666"/>
      <c r="O273" s="666"/>
    </row>
    <row r="274" spans="2:20" ht="17.25" customHeight="1">
      <c r="B274" s="666"/>
      <c r="C274" s="666"/>
      <c r="D274" s="666"/>
      <c r="E274" s="666"/>
      <c r="F274" s="666"/>
      <c r="G274" s="666"/>
      <c r="I274" s="509"/>
      <c r="J274" s="666"/>
      <c r="K274" s="666"/>
      <c r="L274" s="666"/>
      <c r="M274" s="666"/>
      <c r="N274" s="666"/>
      <c r="O274" s="666"/>
    </row>
    <row r="275" spans="2:20" ht="17.25" customHeight="1">
      <c r="B275" s="666"/>
      <c r="C275" s="666"/>
      <c r="D275" s="666"/>
      <c r="E275" s="666"/>
      <c r="F275" s="666"/>
      <c r="G275" s="666"/>
      <c r="I275" s="509"/>
      <c r="J275" s="666"/>
      <c r="K275" s="666"/>
      <c r="L275" s="666"/>
      <c r="M275" s="666"/>
      <c r="N275" s="666"/>
      <c r="O275" s="666"/>
    </row>
    <row r="276" spans="2:20" ht="17.25" customHeight="1">
      <c r="B276" s="666"/>
      <c r="C276" s="666"/>
      <c r="D276" s="666"/>
      <c r="E276" s="666"/>
      <c r="F276" s="666"/>
      <c r="G276" s="666"/>
      <c r="I276" s="509"/>
      <c r="J276" s="666"/>
      <c r="K276" s="666"/>
      <c r="L276" s="666"/>
      <c r="M276" s="666"/>
      <c r="N276" s="666"/>
      <c r="O276" s="666"/>
    </row>
    <row r="277" spans="2:20" ht="17.25" customHeight="1">
      <c r="B277" s="666"/>
      <c r="C277" s="666"/>
      <c r="D277" s="666"/>
      <c r="E277" s="666"/>
      <c r="F277" s="666"/>
      <c r="G277" s="666"/>
      <c r="I277" s="509"/>
      <c r="J277" s="666"/>
      <c r="K277" s="666"/>
      <c r="L277" s="666"/>
      <c r="M277" s="666"/>
      <c r="N277" s="666"/>
      <c r="O277" s="666"/>
    </row>
    <row r="278" spans="2:20">
      <c r="B278" s="666"/>
      <c r="C278" s="666"/>
      <c r="D278" s="666"/>
      <c r="E278" s="666"/>
      <c r="F278" s="666"/>
      <c r="G278" s="666"/>
      <c r="I278" s="509"/>
      <c r="J278" s="534"/>
      <c r="K278" s="509"/>
      <c r="M278" s="117"/>
      <c r="N278" s="509"/>
    </row>
    <row r="279" spans="2:20" s="508" customFormat="1">
      <c r="B279" s="666"/>
      <c r="C279" s="666"/>
      <c r="D279" s="666"/>
      <c r="E279" s="666"/>
      <c r="F279" s="666"/>
      <c r="G279" s="666"/>
      <c r="H279" s="509"/>
      <c r="I279" s="509"/>
      <c r="J279" s="509"/>
      <c r="P279" s="509"/>
      <c r="Q279" s="509"/>
      <c r="R279" s="509"/>
      <c r="T279" s="509"/>
    </row>
    <row r="280" spans="2:20" s="508" customFormat="1">
      <c r="B280" s="666"/>
      <c r="C280" s="666"/>
      <c r="D280" s="666"/>
      <c r="E280" s="666"/>
      <c r="F280" s="666"/>
      <c r="G280" s="666"/>
      <c r="H280" s="509"/>
      <c r="I280" s="509"/>
      <c r="J280" s="509"/>
      <c r="P280" s="509"/>
      <c r="Q280" s="509"/>
      <c r="R280" s="509"/>
      <c r="T280" s="509"/>
    </row>
    <row r="281" spans="2:20" s="508" customFormat="1">
      <c r="C281" s="560"/>
      <c r="D281" s="509"/>
      <c r="E281" s="509"/>
      <c r="F281" s="509"/>
      <c r="P281" s="509"/>
      <c r="Q281" s="509"/>
      <c r="R281" s="509"/>
      <c r="T281" s="509"/>
    </row>
    <row r="282" spans="2:20" s="508" customFormat="1">
      <c r="B282" s="509"/>
      <c r="C282" s="560"/>
      <c r="D282" s="509"/>
      <c r="E282" s="509"/>
      <c r="F282" s="509"/>
      <c r="I282" s="509"/>
      <c r="P282" s="509"/>
      <c r="Q282" s="509"/>
      <c r="R282" s="509"/>
      <c r="T282" s="509"/>
    </row>
    <row r="283" spans="2:20" ht="18.75" thickBot="1">
      <c r="B283" s="509"/>
      <c r="E283" s="521" t="s">
        <v>986</v>
      </c>
      <c r="F283" s="521"/>
      <c r="I283" s="509"/>
      <c r="J283" s="509"/>
      <c r="L283" s="521" t="s">
        <v>987</v>
      </c>
      <c r="M283" s="521"/>
      <c r="N283" s="521"/>
      <c r="O283" s="508"/>
      <c r="P283" s="560"/>
    </row>
    <row r="284" spans="2:20" ht="18" thickTop="1">
      <c r="B284" s="509"/>
      <c r="C284" s="522" t="s">
        <v>372</v>
      </c>
      <c r="D284" s="619" t="s">
        <v>802</v>
      </c>
      <c r="E284" s="620" t="s">
        <v>956</v>
      </c>
      <c r="F284" s="620" t="s">
        <v>957</v>
      </c>
      <c r="G284" s="621"/>
      <c r="I284" s="509"/>
      <c r="J284" s="666" t="s">
        <v>988</v>
      </c>
      <c r="K284" s="666"/>
      <c r="L284" s="666"/>
      <c r="M284" s="666"/>
      <c r="N284" s="666"/>
      <c r="O284" s="666"/>
      <c r="P284" s="560"/>
    </row>
    <row r="285" spans="2:20">
      <c r="B285" s="509"/>
      <c r="C285" s="527"/>
      <c r="D285" s="622" t="s">
        <v>808</v>
      </c>
      <c r="E285" s="623" t="s">
        <v>809</v>
      </c>
      <c r="F285" s="624" t="s">
        <v>810</v>
      </c>
      <c r="G285" s="625"/>
      <c r="I285" s="509"/>
      <c r="J285" s="666"/>
      <c r="K285" s="666"/>
      <c r="L285" s="666"/>
      <c r="M285" s="666"/>
      <c r="N285" s="666"/>
      <c r="O285" s="666"/>
      <c r="P285" s="560"/>
    </row>
    <row r="286" spans="2:20">
      <c r="B286" s="534"/>
      <c r="C286" s="527"/>
      <c r="D286" s="622" t="s">
        <v>813</v>
      </c>
      <c r="E286" s="622" t="s">
        <v>814</v>
      </c>
      <c r="F286" s="626" t="s">
        <v>397</v>
      </c>
      <c r="G286" s="625"/>
      <c r="I286" s="509"/>
      <c r="J286" s="666"/>
      <c r="K286" s="666"/>
      <c r="L286" s="666"/>
      <c r="M286" s="666"/>
      <c r="N286" s="666"/>
      <c r="O286" s="666"/>
    </row>
    <row r="287" spans="2:20" ht="18" thickBot="1">
      <c r="B287" s="509"/>
      <c r="C287" s="541"/>
      <c r="D287" s="628" t="s">
        <v>817</v>
      </c>
      <c r="E287" s="629" t="s">
        <v>398</v>
      </c>
      <c r="F287" s="630" t="s">
        <v>818</v>
      </c>
      <c r="G287" s="631"/>
      <c r="I287" s="509"/>
      <c r="J287" s="666"/>
      <c r="K287" s="666"/>
      <c r="L287" s="666"/>
      <c r="M287" s="666"/>
      <c r="N287" s="666"/>
      <c r="O287" s="666"/>
    </row>
    <row r="288" spans="2:20" ht="18" thickTop="1">
      <c r="B288" s="509"/>
      <c r="D288" s="632"/>
      <c r="E288" s="632"/>
      <c r="F288" s="632"/>
      <c r="G288" s="632"/>
      <c r="I288" s="509"/>
      <c r="J288" s="666"/>
      <c r="K288" s="666"/>
      <c r="L288" s="666"/>
      <c r="M288" s="666"/>
      <c r="N288" s="666"/>
      <c r="O288" s="666"/>
    </row>
    <row r="289" spans="2:20">
      <c r="B289" s="509"/>
      <c r="D289" s="632"/>
      <c r="E289" s="632"/>
      <c r="F289" s="632"/>
      <c r="G289" s="632"/>
      <c r="I289" s="509"/>
      <c r="J289" s="666"/>
      <c r="K289" s="666"/>
      <c r="L289" s="666"/>
      <c r="M289" s="666"/>
      <c r="N289" s="666"/>
      <c r="O289" s="666"/>
    </row>
    <row r="290" spans="2:20">
      <c r="B290" s="509"/>
      <c r="F290" s="508"/>
      <c r="G290" s="508"/>
      <c r="I290" s="509"/>
      <c r="J290" s="666"/>
      <c r="K290" s="666"/>
      <c r="L290" s="666"/>
      <c r="M290" s="666"/>
      <c r="N290" s="666"/>
      <c r="O290" s="666"/>
    </row>
    <row r="291" spans="2:20">
      <c r="B291" s="666" t="s">
        <v>988</v>
      </c>
      <c r="C291" s="666"/>
      <c r="D291" s="666"/>
      <c r="E291" s="666"/>
      <c r="F291" s="666"/>
      <c r="G291" s="666"/>
      <c r="I291" s="509"/>
      <c r="J291" s="666"/>
      <c r="K291" s="666"/>
      <c r="L291" s="666"/>
      <c r="M291" s="666"/>
      <c r="N291" s="666"/>
      <c r="O291" s="666"/>
    </row>
    <row r="292" spans="2:20">
      <c r="B292" s="666"/>
      <c r="C292" s="666"/>
      <c r="D292" s="666"/>
      <c r="E292" s="666"/>
      <c r="F292" s="666"/>
      <c r="G292" s="666"/>
      <c r="I292" s="509"/>
      <c r="J292" s="666"/>
      <c r="K292" s="666"/>
      <c r="L292" s="666"/>
      <c r="M292" s="666"/>
      <c r="N292" s="666"/>
      <c r="O292" s="666"/>
    </row>
    <row r="293" spans="2:20">
      <c r="B293" s="666"/>
      <c r="C293" s="666"/>
      <c r="D293" s="666"/>
      <c r="E293" s="666"/>
      <c r="F293" s="666"/>
      <c r="G293" s="666"/>
      <c r="I293" s="509"/>
      <c r="J293" s="666"/>
      <c r="K293" s="666"/>
      <c r="L293" s="666"/>
      <c r="M293" s="666"/>
      <c r="N293" s="666"/>
      <c r="O293" s="666"/>
    </row>
    <row r="294" spans="2:20">
      <c r="B294" s="666"/>
      <c r="C294" s="666"/>
      <c r="D294" s="666"/>
      <c r="E294" s="666"/>
      <c r="F294" s="666"/>
      <c r="G294" s="666"/>
      <c r="I294" s="509"/>
      <c r="J294" s="666"/>
      <c r="K294" s="666"/>
      <c r="L294" s="666"/>
      <c r="M294" s="666"/>
      <c r="N294" s="666"/>
      <c r="O294" s="666"/>
    </row>
    <row r="295" spans="2:20">
      <c r="B295" s="666"/>
      <c r="C295" s="666"/>
      <c r="D295" s="666"/>
      <c r="E295" s="666"/>
      <c r="F295" s="666"/>
      <c r="G295" s="666"/>
      <c r="I295" s="509"/>
      <c r="J295" s="666"/>
      <c r="K295" s="666"/>
      <c r="L295" s="666"/>
      <c r="M295" s="666"/>
      <c r="N295" s="666"/>
      <c r="O295" s="666"/>
    </row>
    <row r="296" spans="2:20">
      <c r="B296" s="666"/>
      <c r="C296" s="666"/>
      <c r="D296" s="666"/>
      <c r="E296" s="666"/>
      <c r="F296" s="666"/>
      <c r="G296" s="666"/>
      <c r="I296" s="509"/>
      <c r="J296" s="534"/>
      <c r="K296" s="509"/>
      <c r="M296" s="117"/>
      <c r="N296" s="509"/>
    </row>
    <row r="297" spans="2:20" s="508" customFormat="1">
      <c r="B297" s="666"/>
      <c r="C297" s="666"/>
      <c r="D297" s="666"/>
      <c r="E297" s="666"/>
      <c r="F297" s="666"/>
      <c r="G297" s="666"/>
      <c r="H297" s="509"/>
      <c r="I297" s="509"/>
      <c r="J297" s="509"/>
      <c r="P297" s="509"/>
      <c r="Q297" s="509"/>
      <c r="R297" s="509"/>
      <c r="T297" s="509"/>
    </row>
    <row r="298" spans="2:20" s="508" customFormat="1">
      <c r="B298" s="666"/>
      <c r="C298" s="666"/>
      <c r="D298" s="666"/>
      <c r="E298" s="666"/>
      <c r="F298" s="666"/>
      <c r="G298" s="666"/>
      <c r="H298" s="509"/>
      <c r="I298" s="509"/>
      <c r="J298" s="509"/>
      <c r="P298" s="509"/>
      <c r="Q298" s="509"/>
      <c r="R298" s="509"/>
      <c r="T298" s="509"/>
    </row>
    <row r="299" spans="2:20" s="508" customFormat="1">
      <c r="B299" s="509"/>
      <c r="C299" s="560"/>
      <c r="D299" s="509"/>
      <c r="E299" s="509"/>
      <c r="F299" s="509"/>
      <c r="H299" s="560"/>
      <c r="I299" s="509"/>
      <c r="P299" s="560"/>
      <c r="Q299" s="509"/>
      <c r="R299" s="509"/>
      <c r="T299" s="509"/>
    </row>
    <row r="300" spans="2:20" s="508" customFormat="1">
      <c r="C300" s="560"/>
      <c r="D300" s="509"/>
      <c r="E300" s="509"/>
      <c r="F300" s="509"/>
      <c r="P300" s="509"/>
      <c r="Q300" s="509"/>
      <c r="R300" s="509"/>
      <c r="T300" s="509"/>
    </row>
    <row r="301" spans="2:20" ht="17.25" customHeight="1" thickBot="1">
      <c r="B301" s="509"/>
      <c r="E301" s="642" t="s">
        <v>981</v>
      </c>
      <c r="F301" s="642"/>
      <c r="H301" s="560"/>
      <c r="I301" s="509"/>
      <c r="J301" s="509"/>
      <c r="L301" s="514" t="s">
        <v>982</v>
      </c>
      <c r="M301" s="514"/>
      <c r="N301" s="514"/>
      <c r="O301" s="508"/>
      <c r="P301" s="560"/>
    </row>
    <row r="302" spans="2:20" ht="18" thickTop="1">
      <c r="B302" s="509"/>
      <c r="C302" s="522" t="s">
        <v>372</v>
      </c>
      <c r="D302" s="523" t="s">
        <v>802</v>
      </c>
      <c r="E302" s="524" t="s">
        <v>983</v>
      </c>
      <c r="F302" s="524" t="s">
        <v>984</v>
      </c>
      <c r="G302" s="525"/>
      <c r="H302" s="560"/>
      <c r="I302" s="509"/>
      <c r="J302" s="663" t="s">
        <v>936</v>
      </c>
      <c r="K302" s="663"/>
      <c r="L302" s="663"/>
      <c r="M302" s="663"/>
      <c r="N302" s="663"/>
      <c r="O302" s="663"/>
      <c r="P302" s="560"/>
    </row>
    <row r="303" spans="2:20">
      <c r="B303" s="509"/>
      <c r="C303" s="527"/>
      <c r="D303" s="528" t="s">
        <v>808</v>
      </c>
      <c r="E303" s="643" t="s">
        <v>809</v>
      </c>
      <c r="F303" s="296" t="s">
        <v>810</v>
      </c>
      <c r="G303" s="530"/>
      <c r="H303" s="560"/>
      <c r="I303" s="509"/>
      <c r="J303" s="663"/>
      <c r="K303" s="663"/>
      <c r="L303" s="663"/>
      <c r="M303" s="663"/>
      <c r="N303" s="663"/>
      <c r="O303" s="663"/>
      <c r="P303" s="560"/>
    </row>
    <row r="304" spans="2:20">
      <c r="B304" s="644"/>
      <c r="C304" s="527"/>
      <c r="D304" s="528" t="s">
        <v>813</v>
      </c>
      <c r="E304" s="528" t="s">
        <v>814</v>
      </c>
      <c r="F304" s="645" t="s">
        <v>397</v>
      </c>
      <c r="G304" s="530"/>
      <c r="H304" s="560"/>
      <c r="I304" s="509"/>
      <c r="J304" s="663"/>
      <c r="K304" s="663"/>
      <c r="L304" s="663"/>
      <c r="M304" s="663"/>
      <c r="N304" s="663"/>
      <c r="O304" s="663"/>
      <c r="P304" s="560"/>
    </row>
    <row r="305" spans="2:20" ht="18" thickBot="1">
      <c r="B305" s="509"/>
      <c r="C305" s="541"/>
      <c r="D305" s="542" t="s">
        <v>817</v>
      </c>
      <c r="E305" s="543" t="s">
        <v>398</v>
      </c>
      <c r="F305" s="646" t="s">
        <v>818</v>
      </c>
      <c r="G305" s="545"/>
      <c r="H305" s="560"/>
      <c r="I305" s="509"/>
      <c r="J305" s="663"/>
      <c r="K305" s="663"/>
      <c r="L305" s="663"/>
      <c r="M305" s="663"/>
      <c r="N305" s="663"/>
      <c r="O305" s="663"/>
      <c r="P305" s="560"/>
    </row>
    <row r="306" spans="2:20" ht="18" thickTop="1">
      <c r="B306" s="509"/>
      <c r="H306" s="560"/>
      <c r="I306" s="509"/>
      <c r="J306" s="663"/>
      <c r="K306" s="663"/>
      <c r="L306" s="663"/>
      <c r="M306" s="663"/>
      <c r="N306" s="663"/>
      <c r="O306" s="663"/>
      <c r="P306" s="560"/>
    </row>
    <row r="307" spans="2:20" ht="16.5" customHeight="1">
      <c r="B307" s="509"/>
      <c r="H307" s="560"/>
      <c r="I307" s="509"/>
      <c r="J307" s="663"/>
      <c r="K307" s="663"/>
      <c r="L307" s="663"/>
      <c r="M307" s="663"/>
      <c r="N307" s="663"/>
      <c r="O307" s="663"/>
      <c r="P307" s="560"/>
    </row>
    <row r="308" spans="2:20">
      <c r="B308" s="509"/>
      <c r="F308" s="508"/>
      <c r="G308" s="508"/>
      <c r="H308" s="560"/>
      <c r="I308" s="509"/>
      <c r="J308" s="663"/>
      <c r="K308" s="663"/>
      <c r="L308" s="663"/>
      <c r="M308" s="663"/>
      <c r="N308" s="663"/>
      <c r="O308" s="663"/>
      <c r="P308" s="560"/>
    </row>
    <row r="309" spans="2:20" ht="17.25" customHeight="1">
      <c r="B309" s="647" t="s">
        <v>805</v>
      </c>
      <c r="C309" s="647" t="s">
        <v>806</v>
      </c>
      <c r="D309" s="664" t="s">
        <v>985</v>
      </c>
      <c r="E309" s="664"/>
      <c r="F309" s="664"/>
      <c r="G309" s="664"/>
      <c r="H309" s="560"/>
      <c r="I309" s="509"/>
      <c r="J309" s="663"/>
      <c r="K309" s="663"/>
      <c r="L309" s="663"/>
      <c r="M309" s="663"/>
      <c r="N309" s="663"/>
      <c r="O309" s="663"/>
      <c r="P309" s="560"/>
    </row>
    <row r="310" spans="2:20">
      <c r="B310" s="665" t="s">
        <v>936</v>
      </c>
      <c r="C310" s="665"/>
      <c r="D310" s="665"/>
      <c r="E310" s="665"/>
      <c r="F310" s="665"/>
      <c r="G310" s="665"/>
      <c r="H310" s="560"/>
      <c r="I310" s="509"/>
      <c r="J310" s="663"/>
      <c r="K310" s="663"/>
      <c r="L310" s="663"/>
      <c r="M310" s="663"/>
      <c r="N310" s="663"/>
      <c r="O310" s="663"/>
      <c r="P310" s="560"/>
    </row>
    <row r="311" spans="2:20">
      <c r="B311" s="665"/>
      <c r="C311" s="665"/>
      <c r="D311" s="665"/>
      <c r="E311" s="665"/>
      <c r="F311" s="665"/>
      <c r="G311" s="665"/>
      <c r="H311" s="560"/>
      <c r="I311" s="509"/>
      <c r="J311" s="663"/>
      <c r="K311" s="663"/>
      <c r="L311" s="663"/>
      <c r="M311" s="663"/>
      <c r="N311" s="663"/>
      <c r="O311" s="663"/>
      <c r="P311" s="560"/>
    </row>
    <row r="312" spans="2:20">
      <c r="B312" s="665"/>
      <c r="C312" s="665"/>
      <c r="D312" s="665"/>
      <c r="E312" s="665"/>
      <c r="F312" s="665"/>
      <c r="G312" s="665"/>
      <c r="H312" s="560"/>
      <c r="I312" s="509"/>
      <c r="J312" s="663"/>
      <c r="K312" s="663"/>
      <c r="L312" s="663"/>
      <c r="M312" s="663"/>
      <c r="N312" s="663"/>
      <c r="O312" s="663"/>
      <c r="P312" s="560"/>
    </row>
    <row r="313" spans="2:20">
      <c r="B313" s="665"/>
      <c r="C313" s="665"/>
      <c r="D313" s="665"/>
      <c r="E313" s="665"/>
      <c r="F313" s="665"/>
      <c r="G313" s="665"/>
      <c r="H313" s="560"/>
      <c r="I313" s="509"/>
      <c r="J313" s="663"/>
      <c r="K313" s="663"/>
      <c r="L313" s="663"/>
      <c r="M313" s="663"/>
      <c r="N313" s="663"/>
      <c r="O313" s="663"/>
      <c r="P313" s="560"/>
    </row>
    <row r="314" spans="2:20">
      <c r="B314" s="665"/>
      <c r="C314" s="665"/>
      <c r="D314" s="665"/>
      <c r="E314" s="665"/>
      <c r="F314" s="665"/>
      <c r="G314" s="665"/>
      <c r="H314" s="560"/>
      <c r="I314" s="509"/>
      <c r="J314" s="644"/>
      <c r="K314" s="509"/>
      <c r="M314" s="117"/>
      <c r="N314" s="509"/>
      <c r="P314" s="560"/>
    </row>
    <row r="315" spans="2:20" s="508" customFormat="1">
      <c r="B315" s="665"/>
      <c r="C315" s="665"/>
      <c r="D315" s="665"/>
      <c r="E315" s="665"/>
      <c r="F315" s="665"/>
      <c r="G315" s="665"/>
      <c r="H315" s="560"/>
      <c r="I315" s="509"/>
      <c r="J315" s="509"/>
      <c r="P315" s="560"/>
      <c r="Q315" s="509"/>
      <c r="R315" s="509"/>
      <c r="T315" s="509"/>
    </row>
    <row r="316" spans="2:20" s="508" customFormat="1">
      <c r="B316" s="665"/>
      <c r="C316" s="665"/>
      <c r="D316" s="665"/>
      <c r="E316" s="665"/>
      <c r="F316" s="665"/>
      <c r="G316" s="665"/>
      <c r="H316" s="560"/>
      <c r="I316" s="509"/>
      <c r="J316" s="509"/>
      <c r="P316" s="560"/>
      <c r="Q316" s="509"/>
      <c r="R316" s="509"/>
      <c r="T316" s="509"/>
    </row>
    <row r="317" spans="2:20" s="508" customFormat="1">
      <c r="B317" s="665"/>
      <c r="C317" s="665"/>
      <c r="D317" s="665"/>
      <c r="E317" s="665"/>
      <c r="F317" s="665"/>
      <c r="G317" s="665"/>
      <c r="H317" s="560"/>
      <c r="P317" s="560"/>
      <c r="Q317" s="509"/>
      <c r="R317" s="509"/>
      <c r="T317" s="509"/>
    </row>
    <row r="318" spans="2:20" s="508" customFormat="1">
      <c r="B318" s="509"/>
      <c r="C318" s="560"/>
      <c r="D318" s="509"/>
      <c r="E318" s="509"/>
      <c r="F318" s="509"/>
      <c r="H318" s="560"/>
      <c r="P318" s="560"/>
      <c r="Q318" s="509"/>
      <c r="R318" s="509"/>
      <c r="T318" s="509"/>
    </row>
    <row r="319" spans="2:20" s="508" customFormat="1">
      <c r="C319" s="560"/>
      <c r="D319" s="509"/>
      <c r="E319" s="509"/>
      <c r="F319" s="509"/>
      <c r="P319" s="509"/>
      <c r="Q319" s="509"/>
      <c r="R319" s="509"/>
      <c r="T319" s="509"/>
    </row>
    <row r="321" spans="2:20" ht="17.25" customHeight="1" thickBot="1">
      <c r="B321" s="509"/>
      <c r="E321" s="642" t="s">
        <v>989</v>
      </c>
      <c r="F321" s="642"/>
      <c r="H321" s="560"/>
      <c r="I321" s="509"/>
      <c r="J321" s="509"/>
      <c r="L321" s="514" t="s">
        <v>990</v>
      </c>
      <c r="M321" s="514"/>
      <c r="N321" s="514"/>
      <c r="O321" s="508"/>
      <c r="P321" s="560"/>
    </row>
    <row r="322" spans="2:20" ht="18" thickTop="1">
      <c r="B322" s="509"/>
      <c r="C322" s="522" t="s">
        <v>372</v>
      </c>
      <c r="D322" s="523" t="s">
        <v>802</v>
      </c>
      <c r="E322" s="524" t="s">
        <v>983</v>
      </c>
      <c r="F322" s="524" t="s">
        <v>984</v>
      </c>
      <c r="G322" s="525"/>
      <c r="H322" s="560"/>
      <c r="I322" s="509"/>
      <c r="J322" s="663" t="s">
        <v>936</v>
      </c>
      <c r="K322" s="663" t="s">
        <v>806</v>
      </c>
      <c r="L322" s="663" t="s">
        <v>991</v>
      </c>
      <c r="M322" s="663"/>
      <c r="N322" s="663"/>
      <c r="O322" s="663"/>
      <c r="P322" s="560"/>
    </row>
    <row r="323" spans="2:20">
      <c r="B323" s="509"/>
      <c r="C323" s="527"/>
      <c r="D323" s="528" t="s">
        <v>808</v>
      </c>
      <c r="E323" s="643" t="s">
        <v>809</v>
      </c>
      <c r="F323" s="296" t="s">
        <v>810</v>
      </c>
      <c r="G323" s="530"/>
      <c r="H323" s="560"/>
      <c r="I323" s="509"/>
      <c r="J323" s="663" t="s">
        <v>811</v>
      </c>
      <c r="K323" s="663" t="s">
        <v>812</v>
      </c>
      <c r="L323" s="663" t="s">
        <v>404</v>
      </c>
      <c r="M323" s="663" t="s">
        <v>444</v>
      </c>
      <c r="N323" s="663"/>
      <c r="O323" s="663"/>
      <c r="P323" s="560"/>
    </row>
    <row r="324" spans="2:20">
      <c r="B324" s="644"/>
      <c r="C324" s="527"/>
      <c r="D324" s="528" t="s">
        <v>813</v>
      </c>
      <c r="E324" s="528" t="s">
        <v>814</v>
      </c>
      <c r="F324" s="645" t="s">
        <v>397</v>
      </c>
      <c r="G324" s="530"/>
      <c r="H324" s="560"/>
      <c r="I324" s="509"/>
      <c r="J324" s="663">
        <v>0.375</v>
      </c>
      <c r="K324" s="663">
        <v>1</v>
      </c>
      <c r="L324" s="663" t="s">
        <v>755</v>
      </c>
      <c r="M324" s="663"/>
      <c r="N324" s="663"/>
      <c r="O324" s="663"/>
      <c r="P324" s="560"/>
    </row>
    <row r="325" spans="2:20" ht="18" thickBot="1">
      <c r="B325" s="509"/>
      <c r="C325" s="541"/>
      <c r="D325" s="542" t="s">
        <v>817</v>
      </c>
      <c r="E325" s="543" t="s">
        <v>398</v>
      </c>
      <c r="F325" s="646" t="s">
        <v>818</v>
      </c>
      <c r="G325" s="545"/>
      <c r="H325" s="560"/>
      <c r="I325" s="509"/>
      <c r="J325" s="663">
        <v>0.38888888888888901</v>
      </c>
      <c r="K325" s="663">
        <v>2</v>
      </c>
      <c r="L325" s="663" t="s">
        <v>759</v>
      </c>
      <c r="M325" s="663"/>
      <c r="N325" s="663"/>
      <c r="O325" s="663"/>
      <c r="P325" s="560"/>
    </row>
    <row r="326" spans="2:20" ht="18" thickTop="1">
      <c r="B326" s="509"/>
      <c r="H326" s="560"/>
      <c r="I326" s="509"/>
      <c r="J326" s="663">
        <v>0.40277777777777801</v>
      </c>
      <c r="K326" s="663">
        <v>3</v>
      </c>
      <c r="L326" s="663" t="s">
        <v>763</v>
      </c>
      <c r="M326" s="663"/>
      <c r="N326" s="663"/>
      <c r="O326" s="663"/>
      <c r="P326" s="560"/>
    </row>
    <row r="327" spans="2:20" ht="16.5" customHeight="1">
      <c r="B327" s="509"/>
      <c r="H327" s="560"/>
      <c r="I327" s="509"/>
      <c r="J327" s="663">
        <v>0.41666666666666702</v>
      </c>
      <c r="K327" s="663">
        <v>4</v>
      </c>
      <c r="L327" s="663" t="s">
        <v>768</v>
      </c>
      <c r="M327" s="663"/>
      <c r="N327" s="663"/>
      <c r="O327" s="663"/>
      <c r="P327" s="560"/>
    </row>
    <row r="328" spans="2:20">
      <c r="B328" s="509"/>
      <c r="F328" s="508"/>
      <c r="G328" s="508"/>
      <c r="H328" s="560"/>
      <c r="I328" s="509"/>
      <c r="J328" s="663"/>
      <c r="K328" s="663"/>
      <c r="L328" s="663"/>
      <c r="M328" s="663"/>
      <c r="N328" s="663"/>
      <c r="O328" s="663"/>
      <c r="P328" s="560"/>
    </row>
    <row r="329" spans="2:20">
      <c r="B329" s="663" t="s">
        <v>936</v>
      </c>
      <c r="C329" s="663" t="s">
        <v>806</v>
      </c>
      <c r="D329" s="663" t="s">
        <v>991</v>
      </c>
      <c r="E329" s="663"/>
      <c r="F329" s="663"/>
      <c r="G329" s="663"/>
      <c r="H329" s="560"/>
      <c r="I329" s="509"/>
      <c r="J329" s="663"/>
      <c r="K329" s="663" t="s">
        <v>829</v>
      </c>
      <c r="L329" s="663"/>
      <c r="M329" s="663"/>
      <c r="N329" s="663"/>
      <c r="O329" s="663"/>
      <c r="P329" s="560"/>
    </row>
    <row r="330" spans="2:20">
      <c r="B330" s="663" t="s">
        <v>811</v>
      </c>
      <c r="C330" s="663" t="s">
        <v>812</v>
      </c>
      <c r="D330" s="663" t="s">
        <v>404</v>
      </c>
      <c r="E330" s="663" t="s">
        <v>444</v>
      </c>
      <c r="F330" s="663"/>
      <c r="G330" s="663"/>
      <c r="H330" s="560"/>
      <c r="I330" s="509"/>
      <c r="J330" s="663">
        <v>0.5625</v>
      </c>
      <c r="K330" s="663">
        <v>6</v>
      </c>
      <c r="L330" s="663" t="s">
        <v>487</v>
      </c>
      <c r="M330" s="663"/>
      <c r="N330" s="663"/>
      <c r="O330" s="663"/>
      <c r="P330" s="560"/>
    </row>
    <row r="331" spans="2:20">
      <c r="B331" s="663">
        <v>0.58333333333333304</v>
      </c>
      <c r="C331" s="663">
        <v>1</v>
      </c>
      <c r="D331" s="663" t="s">
        <v>478</v>
      </c>
      <c r="E331" s="663" t="s">
        <v>482</v>
      </c>
      <c r="F331" s="663"/>
      <c r="G331" s="663"/>
      <c r="H331" s="560"/>
      <c r="I331" s="509"/>
      <c r="J331" s="663">
        <v>0.57638888888888895</v>
      </c>
      <c r="K331" s="663">
        <v>7</v>
      </c>
      <c r="L331" s="663" t="s">
        <v>495</v>
      </c>
      <c r="M331" s="663"/>
      <c r="N331" s="663"/>
      <c r="O331" s="663"/>
      <c r="P331" s="560"/>
    </row>
    <row r="332" spans="2:20">
      <c r="B332" s="663">
        <v>0.59722222222222199</v>
      </c>
      <c r="C332" s="663">
        <v>2</v>
      </c>
      <c r="D332" s="663" t="s">
        <v>486</v>
      </c>
      <c r="E332" s="663" t="s">
        <v>489</v>
      </c>
      <c r="F332" s="663"/>
      <c r="G332" s="663"/>
      <c r="H332" s="560"/>
      <c r="I332" s="509"/>
      <c r="J332" s="663">
        <v>0.59027777777777801</v>
      </c>
      <c r="K332" s="663">
        <v>8</v>
      </c>
      <c r="L332" s="663" t="s">
        <v>503</v>
      </c>
      <c r="M332" s="663"/>
      <c r="N332" s="663"/>
      <c r="O332" s="663"/>
      <c r="P332" s="560"/>
    </row>
    <row r="333" spans="2:20">
      <c r="B333" s="663">
        <v>0.61111111111111105</v>
      </c>
      <c r="C333" s="663">
        <v>3</v>
      </c>
      <c r="D333" s="663" t="s">
        <v>493</v>
      </c>
      <c r="E333" s="663" t="s">
        <v>497</v>
      </c>
      <c r="F333" s="663"/>
      <c r="G333" s="663"/>
      <c r="H333" s="560"/>
      <c r="I333" s="509"/>
      <c r="J333" s="663">
        <v>0.60416666666666696</v>
      </c>
      <c r="K333" s="663">
        <v>9</v>
      </c>
      <c r="L333" s="663" t="s">
        <v>484</v>
      </c>
      <c r="M333" s="663"/>
      <c r="N333" s="663"/>
      <c r="O333" s="663"/>
      <c r="P333" s="560"/>
    </row>
    <row r="334" spans="2:20">
      <c r="B334" s="663">
        <v>0.625</v>
      </c>
      <c r="C334" s="663">
        <v>4</v>
      </c>
      <c r="D334" s="663" t="s">
        <v>501</v>
      </c>
      <c r="E334" s="663" t="s">
        <v>507</v>
      </c>
      <c r="F334" s="663"/>
      <c r="G334" s="663"/>
      <c r="H334" s="560"/>
      <c r="I334" s="509"/>
      <c r="J334" s="644"/>
      <c r="K334" s="509"/>
      <c r="M334" s="117"/>
      <c r="N334" s="509"/>
      <c r="P334" s="560"/>
    </row>
    <row r="335" spans="2:20" s="508" customFormat="1">
      <c r="B335" s="663">
        <v>0.63888888888888895</v>
      </c>
      <c r="C335" s="663">
        <v>5</v>
      </c>
      <c r="D335" s="663"/>
      <c r="E335" s="663"/>
      <c r="F335" s="663"/>
      <c r="G335" s="663"/>
      <c r="H335" s="560"/>
      <c r="I335" s="509"/>
      <c r="J335" s="509"/>
      <c r="P335" s="560"/>
      <c r="Q335" s="509"/>
      <c r="R335" s="509"/>
      <c r="T335" s="509"/>
    </row>
    <row r="336" spans="2:20">
      <c r="B336" s="663"/>
      <c r="C336" s="663"/>
      <c r="D336" s="663"/>
      <c r="E336" s="663"/>
      <c r="F336" s="663"/>
      <c r="G336" s="663"/>
      <c r="H336" s="560"/>
      <c r="O336" s="508"/>
      <c r="P336" s="560"/>
    </row>
    <row r="337" spans="2:16">
      <c r="G337" s="508"/>
      <c r="H337" s="560"/>
      <c r="O337" s="508"/>
      <c r="P337" s="560"/>
    </row>
    <row r="338" spans="2:16">
      <c r="G338" s="508"/>
      <c r="H338" s="560"/>
      <c r="O338" s="508"/>
      <c r="P338" s="560"/>
    </row>
    <row r="339" spans="2:16" ht="17.25" customHeight="1" thickBot="1">
      <c r="B339" s="509"/>
      <c r="E339" s="642" t="s">
        <v>992</v>
      </c>
      <c r="F339" s="642"/>
      <c r="H339" s="560"/>
      <c r="I339" s="509"/>
      <c r="J339" s="509"/>
      <c r="L339" s="514" t="s">
        <v>993</v>
      </c>
      <c r="M339" s="514"/>
      <c r="N339" s="514"/>
      <c r="O339" s="508"/>
      <c r="P339" s="560"/>
    </row>
    <row r="340" spans="2:16" ht="18" thickTop="1">
      <c r="B340" s="509"/>
      <c r="C340" s="522" t="s">
        <v>372</v>
      </c>
      <c r="D340" s="523" t="s">
        <v>802</v>
      </c>
      <c r="E340" s="524" t="s">
        <v>983</v>
      </c>
      <c r="F340" s="524" t="s">
        <v>984</v>
      </c>
      <c r="G340" s="525"/>
      <c r="H340" s="560"/>
      <c r="I340" s="509"/>
      <c r="J340" s="663" t="s">
        <v>936</v>
      </c>
      <c r="K340" s="663"/>
      <c r="L340" s="663"/>
      <c r="M340" s="663"/>
      <c r="N340" s="663"/>
      <c r="O340" s="663"/>
      <c r="P340" s="560"/>
    </row>
    <row r="341" spans="2:16">
      <c r="B341" s="509"/>
      <c r="C341" s="527"/>
      <c r="D341" s="528" t="s">
        <v>808</v>
      </c>
      <c r="E341" s="643" t="s">
        <v>809</v>
      </c>
      <c r="F341" s="296" t="s">
        <v>810</v>
      </c>
      <c r="G341" s="530"/>
      <c r="H341" s="560"/>
      <c r="I341" s="509"/>
      <c r="J341" s="663"/>
      <c r="K341" s="663"/>
      <c r="L341" s="663"/>
      <c r="M341" s="663"/>
      <c r="N341" s="663"/>
      <c r="O341" s="663"/>
      <c r="P341" s="560"/>
    </row>
    <row r="342" spans="2:16">
      <c r="B342" s="644"/>
      <c r="C342" s="527"/>
      <c r="D342" s="528" t="s">
        <v>813</v>
      </c>
      <c r="E342" s="528" t="s">
        <v>814</v>
      </c>
      <c r="F342" s="645" t="s">
        <v>397</v>
      </c>
      <c r="G342" s="530"/>
      <c r="H342" s="560"/>
      <c r="I342" s="509"/>
      <c r="J342" s="663"/>
      <c r="K342" s="663"/>
      <c r="L342" s="663"/>
      <c r="M342" s="663"/>
      <c r="N342" s="663"/>
      <c r="O342" s="663"/>
      <c r="P342" s="560"/>
    </row>
    <row r="343" spans="2:16" ht="18" thickBot="1">
      <c r="B343" s="509"/>
      <c r="C343" s="541"/>
      <c r="D343" s="542" t="s">
        <v>817</v>
      </c>
      <c r="E343" s="543" t="s">
        <v>398</v>
      </c>
      <c r="F343" s="646" t="s">
        <v>818</v>
      </c>
      <c r="G343" s="545"/>
      <c r="H343" s="560"/>
      <c r="I343" s="509"/>
      <c r="J343" s="663"/>
      <c r="K343" s="663"/>
      <c r="L343" s="663"/>
      <c r="M343" s="663"/>
      <c r="N343" s="663"/>
      <c r="O343" s="663"/>
      <c r="P343" s="560"/>
    </row>
    <row r="344" spans="2:16" ht="18" thickTop="1">
      <c r="B344" s="509"/>
      <c r="H344" s="560"/>
      <c r="I344" s="509"/>
      <c r="J344" s="663"/>
      <c r="K344" s="663"/>
      <c r="L344" s="663"/>
      <c r="M344" s="663"/>
      <c r="N344" s="663"/>
      <c r="O344" s="663"/>
      <c r="P344" s="560"/>
    </row>
    <row r="345" spans="2:16" ht="16.5" customHeight="1">
      <c r="B345" s="509"/>
      <c r="H345" s="560"/>
      <c r="I345" s="509"/>
      <c r="J345" s="663"/>
      <c r="K345" s="663"/>
      <c r="L345" s="663"/>
      <c r="M345" s="663"/>
      <c r="N345" s="663"/>
      <c r="O345" s="663"/>
      <c r="P345" s="560"/>
    </row>
    <row r="346" spans="2:16">
      <c r="B346" s="509"/>
      <c r="F346" s="508"/>
      <c r="G346" s="508"/>
      <c r="H346" s="560"/>
      <c r="I346" s="509"/>
      <c r="J346" s="663"/>
      <c r="K346" s="663"/>
      <c r="L346" s="663"/>
      <c r="M346" s="663"/>
      <c r="N346" s="663"/>
      <c r="O346" s="663"/>
      <c r="P346" s="560"/>
    </row>
    <row r="347" spans="2:16">
      <c r="B347" s="663" t="s">
        <v>936</v>
      </c>
      <c r="C347" s="663"/>
      <c r="D347" s="663"/>
      <c r="E347" s="663"/>
      <c r="F347" s="663"/>
      <c r="G347" s="663"/>
      <c r="H347" s="560"/>
      <c r="I347" s="509"/>
      <c r="J347" s="663"/>
      <c r="K347" s="663"/>
      <c r="L347" s="663"/>
      <c r="M347" s="663"/>
      <c r="N347" s="663"/>
      <c r="O347" s="663"/>
      <c r="P347" s="560"/>
    </row>
    <row r="348" spans="2:16">
      <c r="B348" s="663"/>
      <c r="C348" s="663"/>
      <c r="D348" s="663"/>
      <c r="E348" s="663"/>
      <c r="F348" s="663"/>
      <c r="G348" s="663"/>
      <c r="H348" s="560"/>
      <c r="I348" s="509"/>
      <c r="J348" s="663"/>
      <c r="K348" s="663"/>
      <c r="L348" s="663"/>
      <c r="M348" s="663"/>
      <c r="N348" s="663"/>
      <c r="O348" s="663"/>
      <c r="P348" s="560"/>
    </row>
    <row r="349" spans="2:16">
      <c r="B349" s="663"/>
      <c r="C349" s="663"/>
      <c r="D349" s="663"/>
      <c r="E349" s="663"/>
      <c r="F349" s="663"/>
      <c r="G349" s="663"/>
      <c r="H349" s="560"/>
      <c r="I349" s="509"/>
      <c r="J349" s="663"/>
      <c r="K349" s="663"/>
      <c r="L349" s="663"/>
      <c r="M349" s="663"/>
      <c r="N349" s="663"/>
      <c r="O349" s="663"/>
      <c r="P349" s="560"/>
    </row>
    <row r="350" spans="2:16">
      <c r="B350" s="663"/>
      <c r="C350" s="663"/>
      <c r="D350" s="663"/>
      <c r="E350" s="663"/>
      <c r="F350" s="663"/>
      <c r="G350" s="663"/>
      <c r="H350" s="560"/>
      <c r="I350" s="509"/>
      <c r="J350" s="663"/>
      <c r="K350" s="663"/>
      <c r="L350" s="663"/>
      <c r="M350" s="663"/>
      <c r="N350" s="663"/>
      <c r="O350" s="663"/>
      <c r="P350" s="560"/>
    </row>
    <row r="351" spans="2:16">
      <c r="B351" s="663"/>
      <c r="C351" s="663"/>
      <c r="D351" s="663"/>
      <c r="E351" s="663"/>
      <c r="F351" s="663"/>
      <c r="G351" s="663"/>
      <c r="H351" s="560"/>
      <c r="I351" s="509"/>
      <c r="J351" s="663"/>
      <c r="K351" s="663"/>
      <c r="L351" s="663"/>
      <c r="M351" s="663"/>
      <c r="N351" s="663"/>
      <c r="O351" s="663"/>
      <c r="P351" s="560"/>
    </row>
    <row r="352" spans="2:16">
      <c r="B352" s="663"/>
      <c r="C352" s="663"/>
      <c r="D352" s="663"/>
      <c r="E352" s="663"/>
      <c r="F352" s="663"/>
      <c r="G352" s="663"/>
      <c r="H352" s="560"/>
      <c r="I352" s="509"/>
      <c r="J352" s="644"/>
      <c r="K352" s="509"/>
      <c r="M352" s="117"/>
      <c r="N352" s="509"/>
      <c r="P352" s="560"/>
    </row>
    <row r="353" spans="2:20" s="508" customFormat="1">
      <c r="B353" s="663"/>
      <c r="C353" s="663"/>
      <c r="D353" s="663"/>
      <c r="E353" s="663"/>
      <c r="F353" s="663"/>
      <c r="G353" s="663"/>
      <c r="H353" s="560"/>
      <c r="I353" s="509"/>
      <c r="J353" s="509"/>
      <c r="P353" s="560"/>
      <c r="Q353" s="509"/>
      <c r="R353" s="509"/>
      <c r="T353" s="509"/>
    </row>
    <row r="354" spans="2:20">
      <c r="B354" s="663"/>
      <c r="C354" s="663"/>
      <c r="D354" s="663"/>
      <c r="E354" s="663"/>
      <c r="F354" s="663"/>
      <c r="G354" s="663"/>
      <c r="H354" s="560"/>
      <c r="O354" s="508"/>
      <c r="P354" s="560"/>
    </row>
    <row r="355" spans="2:20">
      <c r="G355" s="508"/>
      <c r="H355" s="560"/>
      <c r="J355" s="648" t="s">
        <v>994</v>
      </c>
      <c r="K355" s="585"/>
      <c r="L355" s="649" t="s">
        <v>995</v>
      </c>
      <c r="M355" s="587"/>
      <c r="O355" s="508"/>
      <c r="P355" s="560"/>
    </row>
    <row r="356" spans="2:20" ht="17.25" customHeight="1" thickBot="1">
      <c r="B356" s="509"/>
      <c r="E356" s="642" t="s">
        <v>996</v>
      </c>
      <c r="F356" s="642"/>
      <c r="H356" s="560"/>
      <c r="I356" s="509"/>
      <c r="J356" s="509"/>
      <c r="L356" s="514" t="s">
        <v>997</v>
      </c>
      <c r="M356" s="514"/>
      <c r="N356" s="514"/>
      <c r="O356" s="508"/>
      <c r="P356" s="560"/>
    </row>
    <row r="357" spans="2:20" ht="18" thickTop="1">
      <c r="B357" s="509"/>
      <c r="C357" s="522" t="s">
        <v>372</v>
      </c>
      <c r="D357" s="523" t="s">
        <v>802</v>
      </c>
      <c r="E357" s="524" t="s">
        <v>983</v>
      </c>
      <c r="F357" s="524" t="s">
        <v>984</v>
      </c>
      <c r="G357" s="525"/>
      <c r="H357" s="560"/>
      <c r="I357" s="509"/>
      <c r="J357" s="686" t="s">
        <v>805</v>
      </c>
      <c r="K357" s="686" t="s">
        <v>806</v>
      </c>
      <c r="L357" s="687" t="s">
        <v>985</v>
      </c>
      <c r="M357" s="687"/>
      <c r="N357" s="687"/>
      <c r="O357" s="687"/>
      <c r="P357" s="560"/>
    </row>
    <row r="358" spans="2:20">
      <c r="B358" s="509"/>
      <c r="C358" s="527"/>
      <c r="D358" s="528" t="s">
        <v>808</v>
      </c>
      <c r="E358" s="643" t="s">
        <v>809</v>
      </c>
      <c r="F358" s="296" t="s">
        <v>810</v>
      </c>
      <c r="G358" s="530"/>
      <c r="H358" s="560"/>
      <c r="I358" s="509"/>
      <c r="J358" s="688" t="s">
        <v>811</v>
      </c>
      <c r="K358" s="688" t="s">
        <v>812</v>
      </c>
      <c r="L358" s="686" t="s">
        <v>404</v>
      </c>
      <c r="M358" s="686" t="s">
        <v>444</v>
      </c>
      <c r="N358" s="686"/>
      <c r="O358" s="686"/>
      <c r="P358" s="560"/>
    </row>
    <row r="359" spans="2:20">
      <c r="B359" s="644"/>
      <c r="C359" s="527"/>
      <c r="D359" s="528" t="s">
        <v>813</v>
      </c>
      <c r="E359" s="528" t="s">
        <v>814</v>
      </c>
      <c r="F359" s="645" t="s">
        <v>397</v>
      </c>
      <c r="G359" s="530"/>
      <c r="H359" s="560"/>
      <c r="I359" s="509"/>
      <c r="J359" s="689">
        <v>0.375</v>
      </c>
      <c r="K359" s="686">
        <v>1</v>
      </c>
      <c r="L359" s="600" t="s">
        <v>755</v>
      </c>
      <c r="M359" s="686"/>
      <c r="N359" s="691"/>
      <c r="O359" s="690"/>
      <c r="P359" s="560"/>
    </row>
    <row r="360" spans="2:20" ht="18" thickBot="1">
      <c r="B360" s="509"/>
      <c r="C360" s="541"/>
      <c r="D360" s="542" t="s">
        <v>817</v>
      </c>
      <c r="E360" s="543" t="s">
        <v>398</v>
      </c>
      <c r="F360" s="646" t="s">
        <v>818</v>
      </c>
      <c r="G360" s="545"/>
      <c r="H360" s="560"/>
      <c r="I360" s="509"/>
      <c r="J360" s="689">
        <v>0.38888888888888901</v>
      </c>
      <c r="K360" s="686">
        <v>2</v>
      </c>
      <c r="L360" s="600" t="s">
        <v>759</v>
      </c>
      <c r="M360" s="690"/>
      <c r="N360" s="690"/>
      <c r="O360" s="690"/>
      <c r="P360" s="560"/>
    </row>
    <row r="361" spans="2:20" ht="18" thickTop="1">
      <c r="B361" s="509"/>
      <c r="H361" s="560"/>
      <c r="I361" s="509"/>
      <c r="J361" s="689">
        <v>0.40277777777777801</v>
      </c>
      <c r="K361" s="686">
        <v>3</v>
      </c>
      <c r="L361" s="600" t="s">
        <v>763</v>
      </c>
      <c r="M361" s="690"/>
      <c r="N361" s="690"/>
      <c r="O361" s="690"/>
      <c r="P361" s="560"/>
    </row>
    <row r="362" spans="2:20" ht="16.5" customHeight="1">
      <c r="B362" s="509"/>
      <c r="H362" s="560"/>
      <c r="I362" s="509"/>
      <c r="J362" s="689">
        <v>0.41666666666666702</v>
      </c>
      <c r="K362" s="686">
        <v>4</v>
      </c>
      <c r="L362" s="604" t="s">
        <v>768</v>
      </c>
      <c r="M362" s="690"/>
      <c r="N362" s="690"/>
      <c r="O362" s="690"/>
      <c r="P362" s="560"/>
    </row>
    <row r="363" spans="2:20" s="508" customFormat="1">
      <c r="B363" s="648" t="s">
        <v>994</v>
      </c>
      <c r="C363" s="585"/>
      <c r="D363" s="649" t="s">
        <v>995</v>
      </c>
      <c r="E363" s="587"/>
      <c r="H363" s="560"/>
      <c r="I363" s="509"/>
      <c r="J363" s="689"/>
      <c r="K363" s="686"/>
      <c r="L363" s="686"/>
      <c r="M363" s="690"/>
      <c r="N363" s="690"/>
      <c r="O363" s="690"/>
      <c r="P363" s="560"/>
      <c r="Q363" s="509"/>
      <c r="R363" s="509"/>
      <c r="T363" s="509"/>
    </row>
    <row r="364" spans="2:20">
      <c r="B364" s="686" t="s">
        <v>805</v>
      </c>
      <c r="C364" s="686" t="s">
        <v>806</v>
      </c>
      <c r="D364" s="687" t="s">
        <v>985</v>
      </c>
      <c r="E364" s="687"/>
      <c r="F364" s="687"/>
      <c r="G364" s="687"/>
      <c r="H364" s="206"/>
      <c r="I364" s="509"/>
      <c r="J364" s="689"/>
      <c r="K364" s="686" t="s">
        <v>829</v>
      </c>
      <c r="L364" s="686"/>
      <c r="M364" s="686"/>
      <c r="N364" s="686"/>
      <c r="O364" s="686"/>
      <c r="P364" s="560"/>
    </row>
    <row r="365" spans="2:20">
      <c r="B365" s="688" t="s">
        <v>811</v>
      </c>
      <c r="C365" s="688" t="s">
        <v>812</v>
      </c>
      <c r="D365" s="686" t="s">
        <v>404</v>
      </c>
      <c r="E365" s="686" t="s">
        <v>444</v>
      </c>
      <c r="F365" s="686"/>
      <c r="G365" s="686"/>
      <c r="H365" s="560"/>
      <c r="I365" s="509"/>
      <c r="J365" s="689">
        <v>0.5625</v>
      </c>
      <c r="K365" s="686">
        <v>6</v>
      </c>
      <c r="L365" s="600" t="s">
        <v>480</v>
      </c>
      <c r="M365" s="686"/>
      <c r="N365" s="690"/>
      <c r="O365" s="690"/>
      <c r="P365" s="560"/>
    </row>
    <row r="366" spans="2:20">
      <c r="B366" s="689">
        <v>0.58333333333333304</v>
      </c>
      <c r="C366" s="686">
        <v>1</v>
      </c>
      <c r="D366" s="604" t="s">
        <v>478</v>
      </c>
      <c r="E366" s="604" t="s">
        <v>482</v>
      </c>
      <c r="F366" s="690"/>
      <c r="G366" s="690"/>
      <c r="H366" s="560"/>
      <c r="I366" s="509"/>
      <c r="J366" s="689">
        <v>0.57638888888888895</v>
      </c>
      <c r="K366" s="686">
        <v>7</v>
      </c>
      <c r="L366" s="600" t="s">
        <v>487</v>
      </c>
      <c r="M366" s="690"/>
      <c r="N366" s="690"/>
      <c r="O366" s="690"/>
      <c r="P366" s="560"/>
    </row>
    <row r="367" spans="2:20">
      <c r="B367" s="689">
        <v>0.59722222222222199</v>
      </c>
      <c r="C367" s="686">
        <v>2</v>
      </c>
      <c r="D367" s="604" t="s">
        <v>486</v>
      </c>
      <c r="E367" s="604" t="s">
        <v>489</v>
      </c>
      <c r="F367" s="690"/>
      <c r="G367" s="690"/>
      <c r="H367" s="560"/>
      <c r="I367" s="509"/>
      <c r="J367" s="689">
        <v>0.59027777777777801</v>
      </c>
      <c r="K367" s="686">
        <v>8</v>
      </c>
      <c r="L367" s="600" t="s">
        <v>495</v>
      </c>
      <c r="M367" s="686"/>
      <c r="N367" s="690"/>
      <c r="O367" s="690"/>
      <c r="P367" s="560"/>
    </row>
    <row r="368" spans="2:20">
      <c r="B368" s="689">
        <v>0.61111111111111105</v>
      </c>
      <c r="C368" s="686">
        <v>3</v>
      </c>
      <c r="D368" s="604" t="s">
        <v>493</v>
      </c>
      <c r="E368" s="604" t="s">
        <v>497</v>
      </c>
      <c r="F368" s="686"/>
      <c r="G368" s="686"/>
      <c r="H368" s="560"/>
      <c r="I368" s="509"/>
      <c r="J368" s="689">
        <v>0.60416666666666696</v>
      </c>
      <c r="K368" s="686">
        <v>9</v>
      </c>
      <c r="L368" s="600" t="s">
        <v>503</v>
      </c>
      <c r="M368" s="686"/>
      <c r="N368" s="686"/>
      <c r="O368" s="686"/>
      <c r="P368" s="560"/>
    </row>
    <row r="369" spans="2:23">
      <c r="B369" s="689">
        <v>0.625</v>
      </c>
      <c r="C369" s="686">
        <v>4</v>
      </c>
      <c r="D369" s="604" t="s">
        <v>501</v>
      </c>
      <c r="E369" s="604" t="s">
        <v>507</v>
      </c>
      <c r="F369" s="686"/>
      <c r="G369" s="686"/>
      <c r="H369" s="560"/>
      <c r="I369" s="509"/>
      <c r="J369" s="644"/>
      <c r="K369" s="509"/>
      <c r="M369" s="117"/>
      <c r="N369" s="509"/>
      <c r="P369" s="560"/>
    </row>
    <row r="370" spans="2:23" s="508" customFormat="1">
      <c r="B370" s="689"/>
      <c r="C370" s="686"/>
      <c r="D370" s="686"/>
      <c r="E370" s="690"/>
      <c r="F370" s="686"/>
      <c r="G370" s="686"/>
      <c r="H370" s="560"/>
      <c r="I370" s="509"/>
      <c r="J370" s="509"/>
      <c r="P370" s="560"/>
      <c r="Q370" s="509"/>
      <c r="R370" s="509"/>
      <c r="T370" s="509"/>
    </row>
    <row r="371" spans="2:23">
      <c r="G371" s="508"/>
      <c r="H371" s="560"/>
      <c r="O371" s="508"/>
      <c r="P371" s="560"/>
    </row>
    <row r="372" spans="2:23">
      <c r="G372" s="508"/>
      <c r="H372" s="560"/>
      <c r="J372" s="648" t="s">
        <v>994</v>
      </c>
      <c r="K372" s="585"/>
      <c r="L372" s="649" t="s">
        <v>995</v>
      </c>
      <c r="M372" s="587"/>
      <c r="O372" s="508"/>
      <c r="P372" s="560"/>
    </row>
    <row r="373" spans="2:23" ht="18" thickBot="1">
      <c r="B373" s="509"/>
      <c r="E373" s="642" t="s">
        <v>998</v>
      </c>
      <c r="F373" s="642"/>
      <c r="H373" s="560"/>
      <c r="I373" s="509"/>
      <c r="J373" s="509"/>
      <c r="L373" s="514" t="s">
        <v>999</v>
      </c>
      <c r="M373" s="514"/>
      <c r="N373" s="514"/>
      <c r="O373" s="508"/>
      <c r="P373" s="560"/>
    </row>
    <row r="374" spans="2:23" ht="18" thickTop="1">
      <c r="B374" s="509"/>
      <c r="C374" s="522" t="s">
        <v>372</v>
      </c>
      <c r="D374" s="523" t="s">
        <v>802</v>
      </c>
      <c r="E374" s="524" t="s">
        <v>983</v>
      </c>
      <c r="F374" s="524" t="s">
        <v>984</v>
      </c>
      <c r="G374" s="525"/>
      <c r="H374" s="560"/>
      <c r="I374" s="509"/>
      <c r="J374" s="650" t="s">
        <v>805</v>
      </c>
      <c r="K374" s="650" t="s">
        <v>806</v>
      </c>
      <c r="L374" s="662" t="s">
        <v>1000</v>
      </c>
      <c r="M374" s="662"/>
      <c r="N374" s="662"/>
      <c r="O374" s="662"/>
      <c r="P374" s="560"/>
    </row>
    <row r="375" spans="2:23">
      <c r="B375" s="509"/>
      <c r="C375" s="527"/>
      <c r="D375" s="528" t="s">
        <v>808</v>
      </c>
      <c r="E375" s="643" t="s">
        <v>809</v>
      </c>
      <c r="F375" s="296" t="s">
        <v>810</v>
      </c>
      <c r="G375" s="530"/>
      <c r="H375" s="560"/>
      <c r="I375" s="509"/>
      <c r="J375" s="651" t="s">
        <v>811</v>
      </c>
      <c r="K375" s="651" t="s">
        <v>812</v>
      </c>
      <c r="L375" s="650" t="s">
        <v>404</v>
      </c>
      <c r="M375" s="650" t="s">
        <v>444</v>
      </c>
      <c r="N375" s="650"/>
      <c r="O375" s="650"/>
      <c r="P375" s="560"/>
    </row>
    <row r="376" spans="2:23" ht="18">
      <c r="B376" s="644"/>
      <c r="C376" s="527"/>
      <c r="D376" s="528" t="s">
        <v>813</v>
      </c>
      <c r="E376" s="528" t="s">
        <v>814</v>
      </c>
      <c r="F376" s="645" t="s">
        <v>397</v>
      </c>
      <c r="G376" s="530"/>
      <c r="H376" s="560"/>
      <c r="I376" s="509"/>
      <c r="J376" s="652">
        <v>0.375</v>
      </c>
      <c r="K376" s="650">
        <v>1</v>
      </c>
      <c r="L376" s="537" t="s">
        <v>716</v>
      </c>
      <c r="M376" s="650"/>
      <c r="N376" s="653"/>
      <c r="O376" s="111"/>
      <c r="P376" s="560"/>
      <c r="Q376" s="685"/>
      <c r="S376" s="509"/>
      <c r="T376" s="685"/>
      <c r="U376" s="685"/>
      <c r="V376" s="509"/>
      <c r="W376" s="509"/>
    </row>
    <row r="377" spans="2:23" ht="18.75" thickBot="1">
      <c r="B377" s="509"/>
      <c r="C377" s="541"/>
      <c r="D377" s="542" t="s">
        <v>817</v>
      </c>
      <c r="E377" s="543" t="s">
        <v>398</v>
      </c>
      <c r="F377" s="646" t="s">
        <v>818</v>
      </c>
      <c r="G377" s="545"/>
      <c r="H377" s="560"/>
      <c r="I377" s="509"/>
      <c r="J377" s="652">
        <v>0.38888888888888901</v>
      </c>
      <c r="K377" s="650">
        <v>2</v>
      </c>
      <c r="L377" s="537" t="s">
        <v>718</v>
      </c>
      <c r="M377" s="111"/>
      <c r="N377" s="111"/>
      <c r="O377" s="111"/>
      <c r="P377" s="560"/>
      <c r="Q377" s="685"/>
      <c r="S377" s="509"/>
      <c r="T377" s="685"/>
      <c r="U377" s="685"/>
      <c r="V377" s="509"/>
      <c r="W377" s="509"/>
    </row>
    <row r="378" spans="2:23" ht="18.75" thickTop="1">
      <c r="B378" s="509"/>
      <c r="H378" s="560"/>
      <c r="I378" s="509"/>
      <c r="J378" s="652">
        <v>0.40277777777777801</v>
      </c>
      <c r="K378" s="650">
        <v>3</v>
      </c>
      <c r="L378" s="537" t="s">
        <v>372</v>
      </c>
      <c r="M378" s="111"/>
      <c r="N378" s="111"/>
      <c r="O378" s="111"/>
      <c r="P378" s="560"/>
      <c r="Q378" s="685"/>
      <c r="S378" s="509"/>
      <c r="T378" s="685"/>
      <c r="U378" s="685"/>
      <c r="V378" s="509"/>
      <c r="W378" s="509"/>
    </row>
    <row r="379" spans="2:23" ht="18">
      <c r="B379" s="509"/>
      <c r="H379" s="560"/>
      <c r="I379" s="509"/>
      <c r="J379" s="652">
        <v>0.41666666666666702</v>
      </c>
      <c r="K379" s="650">
        <v>4</v>
      </c>
      <c r="L379" s="550" t="s">
        <v>375</v>
      </c>
      <c r="M379" s="111"/>
      <c r="N379" s="111"/>
      <c r="O379" s="111"/>
      <c r="P379" s="560"/>
      <c r="Q379" s="685"/>
      <c r="S379" s="509"/>
      <c r="T379" s="685"/>
      <c r="U379" s="685"/>
      <c r="V379" s="509"/>
      <c r="W379" s="509"/>
    </row>
    <row r="380" spans="2:23" s="508" customFormat="1">
      <c r="B380" s="648" t="s">
        <v>994</v>
      </c>
      <c r="C380" s="585"/>
      <c r="D380" s="649" t="s">
        <v>995</v>
      </c>
      <c r="E380" s="587"/>
      <c r="H380" s="560"/>
      <c r="I380" s="509"/>
      <c r="J380" s="652"/>
      <c r="K380" s="650"/>
      <c r="L380" s="650"/>
      <c r="M380" s="111"/>
      <c r="N380" s="111"/>
      <c r="O380" s="111"/>
      <c r="P380" s="560"/>
      <c r="T380" s="509"/>
    </row>
    <row r="381" spans="2:23">
      <c r="B381" s="650" t="s">
        <v>805</v>
      </c>
      <c r="C381" s="650" t="s">
        <v>806</v>
      </c>
      <c r="D381" s="662" t="s">
        <v>985</v>
      </c>
      <c r="E381" s="662"/>
      <c r="F381" s="662"/>
      <c r="G381" s="662"/>
      <c r="H381" s="654" t="s">
        <v>1001</v>
      </c>
      <c r="I381" s="509"/>
      <c r="J381" s="652"/>
      <c r="K381" s="650" t="s">
        <v>829</v>
      </c>
      <c r="L381" s="650"/>
      <c r="M381" s="650"/>
      <c r="N381" s="650"/>
      <c r="O381" s="650"/>
      <c r="P381" s="560"/>
    </row>
    <row r="382" spans="2:23">
      <c r="B382" s="651" t="s">
        <v>811</v>
      </c>
      <c r="C382" s="651" t="s">
        <v>812</v>
      </c>
      <c r="D382" s="650" t="s">
        <v>404</v>
      </c>
      <c r="E382" s="650" t="s">
        <v>444</v>
      </c>
      <c r="F382" s="650"/>
      <c r="G382" s="650"/>
      <c r="H382" s="560"/>
      <c r="I382" s="509"/>
      <c r="J382" s="652">
        <v>0.5625</v>
      </c>
      <c r="K382" s="650">
        <v>6</v>
      </c>
      <c r="L382" s="550" t="s">
        <v>717</v>
      </c>
      <c r="M382" s="682"/>
      <c r="N382" s="111"/>
      <c r="O382" s="111"/>
    </row>
    <row r="383" spans="2:23">
      <c r="B383" s="652">
        <v>0.58333333333333304</v>
      </c>
      <c r="C383" s="650">
        <v>1</v>
      </c>
      <c r="D383" s="604" t="s">
        <v>484</v>
      </c>
      <c r="E383" s="604" t="s">
        <v>758</v>
      </c>
      <c r="F383" s="111"/>
      <c r="G383" s="111"/>
      <c r="H383" s="560"/>
      <c r="I383" s="509"/>
      <c r="J383" s="652">
        <v>0.57638888888888895</v>
      </c>
      <c r="K383" s="650">
        <v>7</v>
      </c>
      <c r="L383" s="537" t="s">
        <v>373</v>
      </c>
      <c r="M383" s="683"/>
      <c r="N383" s="111"/>
      <c r="O383" s="111"/>
    </row>
    <row r="384" spans="2:23">
      <c r="B384" s="652">
        <v>0.59722222222222199</v>
      </c>
      <c r="C384" s="650">
        <v>2</v>
      </c>
      <c r="D384" s="604" t="s">
        <v>499</v>
      </c>
      <c r="E384" s="604" t="s">
        <v>766</v>
      </c>
      <c r="F384" s="111"/>
      <c r="G384" s="111"/>
      <c r="H384" s="560"/>
      <c r="I384" s="509"/>
      <c r="J384" s="652">
        <v>0.59027777777777801</v>
      </c>
      <c r="K384" s="650">
        <v>8</v>
      </c>
      <c r="L384" s="537" t="s">
        <v>378</v>
      </c>
      <c r="M384" s="683"/>
      <c r="N384" s="111"/>
      <c r="O384" s="111"/>
    </row>
    <row r="385" spans="2:20">
      <c r="B385" s="652">
        <v>0.61111111111111105</v>
      </c>
      <c r="C385" s="650">
        <v>3</v>
      </c>
      <c r="D385" s="604" t="s">
        <v>505</v>
      </c>
      <c r="E385" s="604" t="s">
        <v>770</v>
      </c>
      <c r="F385" s="650"/>
      <c r="G385" s="650"/>
      <c r="H385" s="560"/>
      <c r="I385" s="509"/>
      <c r="J385" s="652">
        <v>0.60416666666666696</v>
      </c>
      <c r="K385" s="650">
        <v>9</v>
      </c>
      <c r="L385" s="537" t="s">
        <v>719</v>
      </c>
      <c r="M385" s="684"/>
      <c r="N385" s="650"/>
      <c r="O385" s="650"/>
    </row>
    <row r="386" spans="2:20">
      <c r="B386" s="652">
        <v>0.625</v>
      </c>
      <c r="C386" s="650">
        <v>4</v>
      </c>
      <c r="D386" s="604" t="s">
        <v>491</v>
      </c>
      <c r="E386" s="604" t="s">
        <v>761</v>
      </c>
      <c r="F386" s="650"/>
      <c r="G386" s="650"/>
      <c r="H386" s="560"/>
      <c r="I386" s="509"/>
      <c r="J386" s="644"/>
      <c r="K386" s="509"/>
      <c r="M386" s="117"/>
      <c r="N386" s="509"/>
      <c r="P386" s="560"/>
    </row>
    <row r="387" spans="2:20" s="508" customFormat="1">
      <c r="B387" s="652"/>
      <c r="C387" s="650"/>
      <c r="D387" s="650"/>
      <c r="E387" s="111"/>
      <c r="F387" s="650"/>
      <c r="G387" s="650"/>
      <c r="H387" s="560"/>
      <c r="I387" s="509"/>
      <c r="J387" s="509"/>
      <c r="P387" s="560"/>
      <c r="Q387" s="509"/>
      <c r="R387" s="509"/>
      <c r="T387" s="509"/>
    </row>
    <row r="388" spans="2:20">
      <c r="G388" s="508"/>
      <c r="H388" s="560"/>
      <c r="O388" s="508"/>
      <c r="P388" s="560"/>
    </row>
  </sheetData>
  <mergeCells count="60">
    <mergeCell ref="L8:O8"/>
    <mergeCell ref="D15:G15"/>
    <mergeCell ref="J16:O16"/>
    <mergeCell ref="L18:M18"/>
    <mergeCell ref="L20:M20"/>
    <mergeCell ref="L22:M22"/>
    <mergeCell ref="L26:O26"/>
    <mergeCell ref="D33:G33"/>
    <mergeCell ref="J34:O34"/>
    <mergeCell ref="L44:O44"/>
    <mergeCell ref="D51:G51"/>
    <mergeCell ref="J51:O51"/>
    <mergeCell ref="L63:O63"/>
    <mergeCell ref="D70:G70"/>
    <mergeCell ref="J70:O70"/>
    <mergeCell ref="L82:O82"/>
    <mergeCell ref="D89:G89"/>
    <mergeCell ref="J89:O89"/>
    <mergeCell ref="L101:O101"/>
    <mergeCell ref="D108:G108"/>
    <mergeCell ref="J109:O109"/>
    <mergeCell ref="J119:O130"/>
    <mergeCell ref="B126:G133"/>
    <mergeCell ref="J138:O149"/>
    <mergeCell ref="B145:G152"/>
    <mergeCell ref="L156:O156"/>
    <mergeCell ref="B163:G170"/>
    <mergeCell ref="J163:O163"/>
    <mergeCell ref="L176:O176"/>
    <mergeCell ref="D183:G183"/>
    <mergeCell ref="J183:O183"/>
    <mergeCell ref="L194:O194"/>
    <mergeCell ref="D201:G201"/>
    <mergeCell ref="J202:O202"/>
    <mergeCell ref="L204:M204"/>
    <mergeCell ref="L206:M206"/>
    <mergeCell ref="L208:M208"/>
    <mergeCell ref="L212:O212"/>
    <mergeCell ref="D219:G219"/>
    <mergeCell ref="J220:O220"/>
    <mergeCell ref="L230:O230"/>
    <mergeCell ref="D237:G237"/>
    <mergeCell ref="J238:O238"/>
    <mergeCell ref="J248:O259"/>
    <mergeCell ref="B255:G262"/>
    <mergeCell ref="J266:O277"/>
    <mergeCell ref="B273:G280"/>
    <mergeCell ref="J302:O313"/>
    <mergeCell ref="D309:G309"/>
    <mergeCell ref="B310:G317"/>
    <mergeCell ref="J284:O295"/>
    <mergeCell ref="B291:G298"/>
    <mergeCell ref="D364:G364"/>
    <mergeCell ref="L374:O374"/>
    <mergeCell ref="D381:G381"/>
    <mergeCell ref="J322:O333"/>
    <mergeCell ref="B329:G336"/>
    <mergeCell ref="J340:O351"/>
    <mergeCell ref="B347:G354"/>
    <mergeCell ref="L357:O357"/>
  </mergeCells>
  <phoneticPr fontId="118" type="noConversion"/>
  <pageMargins left="0.7" right="0.7" top="0.75" bottom="0.75" header="0.51180555555555496" footer="0.51180555555555496"/>
  <pageSetup paperSize="9" firstPageNumber="0" fitToHeight="0" orientation="portrait" horizontalDpi="300" verticalDpi="300" r:id="rId1"/>
  <rowBreaks count="2" manualBreakCount="2">
    <brk id="60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08"/>
  <sheetViews>
    <sheetView zoomScale="60" zoomScaleNormal="60" workbookViewId="0">
      <selection activeCell="I9" activeCellId="7" sqref="F6 I6 F7 I7 F8 I8 F9 I9"/>
    </sheetView>
  </sheetViews>
  <sheetFormatPr defaultRowHeight="22.5"/>
  <cols>
    <col min="1" max="1" width="3.5546875" customWidth="1"/>
    <col min="2" max="2" width="9" customWidth="1"/>
    <col min="3" max="3" width="9" style="1" customWidth="1"/>
    <col min="4" max="4" width="9" customWidth="1"/>
    <col min="5" max="5" width="26.109375" style="1" customWidth="1"/>
    <col min="6" max="6" width="17.5546875" customWidth="1"/>
    <col min="7" max="7" width="12" hidden="1" customWidth="1"/>
    <col min="8" max="8" width="7.33203125" customWidth="1"/>
    <col min="9" max="9" width="17.5546875" customWidth="1"/>
    <col min="10" max="10" width="11.109375" hidden="1" customWidth="1"/>
    <col min="11" max="11" width="7.33203125" customWidth="1"/>
    <col min="12" max="12" width="12.6640625" customWidth="1"/>
    <col min="13" max="13" width="16.21875" style="1" customWidth="1"/>
    <col min="14" max="14" width="34.109375" style="15" customWidth="1"/>
    <col min="15" max="15" width="17.5546875" customWidth="1"/>
    <col min="16" max="17" width="10.44140625" hidden="1" customWidth="1"/>
    <col min="18" max="1025" width="7.6640625" customWidth="1"/>
  </cols>
  <sheetData>
    <row r="1" spans="2:17" ht="21" customHeight="1">
      <c r="B1" s="16" t="s">
        <v>45</v>
      </c>
      <c r="C1" s="17"/>
      <c r="D1" s="17"/>
      <c r="E1" s="15"/>
      <c r="F1" s="18"/>
      <c r="G1" s="18"/>
      <c r="H1" s="18"/>
      <c r="I1" s="18"/>
      <c r="J1" s="18"/>
      <c r="K1" s="18"/>
      <c r="L1" s="18"/>
      <c r="M1" s="19"/>
      <c r="O1" s="20"/>
    </row>
    <row r="2" spans="2:17" ht="21" customHeight="1">
      <c r="B2" s="21" t="s">
        <v>46</v>
      </c>
      <c r="C2" s="21"/>
      <c r="D2" s="21"/>
      <c r="E2" s="18"/>
      <c r="F2" s="18"/>
      <c r="G2" s="18"/>
      <c r="H2" s="18"/>
      <c r="I2" s="18"/>
      <c r="J2" s="18"/>
      <c r="K2" s="22"/>
      <c r="L2" s="22"/>
      <c r="M2" s="19"/>
      <c r="O2" s="20"/>
    </row>
    <row r="3" spans="2:17" ht="21" customHeight="1">
      <c r="B3" s="23" t="s">
        <v>47</v>
      </c>
      <c r="C3" s="24"/>
      <c r="D3" s="24"/>
      <c r="E3" s="15"/>
      <c r="F3" s="22"/>
      <c r="G3" s="22"/>
      <c r="H3" s="22"/>
      <c r="I3" s="22"/>
      <c r="J3" s="22"/>
      <c r="K3" s="22"/>
      <c r="L3" s="22"/>
      <c r="M3" s="25"/>
      <c r="N3" s="26"/>
      <c r="O3" s="27"/>
    </row>
    <row r="4" spans="2:17" ht="21" customHeight="1">
      <c r="B4" s="28" t="s">
        <v>48</v>
      </c>
      <c r="C4" s="29" t="s">
        <v>49</v>
      </c>
      <c r="D4" s="30" t="s">
        <v>50</v>
      </c>
      <c r="E4" s="31" t="s">
        <v>51</v>
      </c>
      <c r="F4" s="32"/>
      <c r="G4" s="33"/>
      <c r="H4" s="34" t="s">
        <v>52</v>
      </c>
      <c r="I4" s="32"/>
      <c r="J4" s="33"/>
      <c r="K4" s="34" t="s">
        <v>52</v>
      </c>
      <c r="L4" s="35" t="s">
        <v>53</v>
      </c>
      <c r="M4" s="36" t="s">
        <v>54</v>
      </c>
      <c r="N4" s="37"/>
      <c r="O4" s="38"/>
    </row>
    <row r="5" spans="2:17" ht="21" customHeight="1">
      <c r="B5" s="39" t="s">
        <v>55</v>
      </c>
      <c r="C5" s="40" t="s">
        <v>56</v>
      </c>
      <c r="D5" s="41" t="s">
        <v>57</v>
      </c>
      <c r="E5" s="42" t="s">
        <v>58</v>
      </c>
      <c r="F5" s="43" t="s">
        <v>59</v>
      </c>
      <c r="G5" s="43" t="s">
        <v>60</v>
      </c>
      <c r="H5" s="44" t="s">
        <v>61</v>
      </c>
      <c r="I5" s="43" t="s">
        <v>62</v>
      </c>
      <c r="J5" s="43" t="s">
        <v>60</v>
      </c>
      <c r="K5" s="44" t="s">
        <v>61</v>
      </c>
      <c r="L5" s="41" t="s">
        <v>61</v>
      </c>
      <c r="M5" s="45" t="s">
        <v>56</v>
      </c>
      <c r="N5" s="46"/>
      <c r="O5" s="40" t="s">
        <v>63</v>
      </c>
      <c r="P5" s="47" t="s">
        <v>64</v>
      </c>
      <c r="Q5" s="47" t="s">
        <v>65</v>
      </c>
    </row>
    <row r="6" spans="2:17" ht="20.100000000000001" customHeight="1">
      <c r="B6" s="48">
        <v>1</v>
      </c>
      <c r="C6" s="49" t="str">
        <f t="shared" ref="C6:C37" si="0">M6</f>
        <v>AA1</v>
      </c>
      <c r="D6" s="49">
        <v>1</v>
      </c>
      <c r="E6" s="50" t="s">
        <v>66</v>
      </c>
      <c r="F6" s="51" t="s">
        <v>67</v>
      </c>
      <c r="G6" s="52" t="s">
        <v>68</v>
      </c>
      <c r="H6" s="50">
        <v>114</v>
      </c>
      <c r="I6" s="51" t="s">
        <v>69</v>
      </c>
      <c r="J6" s="50" t="s">
        <v>70</v>
      </c>
      <c r="K6" s="50">
        <v>108</v>
      </c>
      <c r="L6" s="53">
        <f t="shared" ref="L6:L37" si="1">H6+K6</f>
        <v>222</v>
      </c>
      <c r="M6" s="54" t="s">
        <v>71</v>
      </c>
      <c r="N6" s="55"/>
      <c r="O6" s="56"/>
      <c r="P6" s="1"/>
      <c r="Q6" s="1">
        <f t="shared" ref="Q6:Q49" si="2">P6/2</f>
        <v>0</v>
      </c>
    </row>
    <row r="7" spans="2:17" ht="20.100000000000001" customHeight="1">
      <c r="B7" s="57">
        <v>2</v>
      </c>
      <c r="C7" s="58" t="str">
        <f t="shared" si="0"/>
        <v>AA2</v>
      </c>
      <c r="D7" s="58">
        <v>2</v>
      </c>
      <c r="E7" s="59" t="s">
        <v>72</v>
      </c>
      <c r="F7" s="60" t="s">
        <v>73</v>
      </c>
      <c r="G7" s="61" t="s">
        <v>74</v>
      </c>
      <c r="H7" s="62">
        <v>97.5</v>
      </c>
      <c r="I7" s="63" t="s">
        <v>75</v>
      </c>
      <c r="J7" s="62" t="s">
        <v>76</v>
      </c>
      <c r="K7" s="62">
        <v>97.5</v>
      </c>
      <c r="L7" s="64">
        <f t="shared" si="1"/>
        <v>195</v>
      </c>
      <c r="M7" s="65" t="s">
        <v>77</v>
      </c>
      <c r="N7" s="66"/>
      <c r="O7" s="67"/>
      <c r="P7" s="1"/>
      <c r="Q7" s="1">
        <f t="shared" si="2"/>
        <v>0</v>
      </c>
    </row>
    <row r="8" spans="2:17" ht="20.100000000000001" customHeight="1">
      <c r="B8" s="57">
        <v>3</v>
      </c>
      <c r="C8" s="58" t="str">
        <f t="shared" si="0"/>
        <v>AA3</v>
      </c>
      <c r="D8" s="58">
        <v>3</v>
      </c>
      <c r="E8" s="59" t="s">
        <v>78</v>
      </c>
      <c r="F8" s="60" t="s">
        <v>79</v>
      </c>
      <c r="G8" s="61" t="s">
        <v>80</v>
      </c>
      <c r="H8" s="62">
        <v>81</v>
      </c>
      <c r="I8" s="63" t="s">
        <v>81</v>
      </c>
      <c r="J8" s="62" t="s">
        <v>82</v>
      </c>
      <c r="K8" s="62">
        <v>102</v>
      </c>
      <c r="L8" s="64">
        <f t="shared" si="1"/>
        <v>183</v>
      </c>
      <c r="M8" s="65" t="s">
        <v>83</v>
      </c>
      <c r="N8" s="66"/>
      <c r="O8" s="67"/>
      <c r="P8" s="1"/>
      <c r="Q8" s="1">
        <f t="shared" si="2"/>
        <v>0</v>
      </c>
    </row>
    <row r="9" spans="2:17" ht="20.100000000000001" customHeight="1">
      <c r="B9" s="57">
        <v>5</v>
      </c>
      <c r="C9" s="58" t="str">
        <f t="shared" si="0"/>
        <v>AA4</v>
      </c>
      <c r="D9" s="58">
        <v>4</v>
      </c>
      <c r="E9" s="59" t="s">
        <v>84</v>
      </c>
      <c r="F9" s="60" t="s">
        <v>85</v>
      </c>
      <c r="G9" s="61" t="s">
        <v>86</v>
      </c>
      <c r="H9" s="62">
        <v>91</v>
      </c>
      <c r="I9" s="63" t="s">
        <v>87</v>
      </c>
      <c r="J9" s="62" t="s">
        <v>88</v>
      </c>
      <c r="K9" s="62">
        <v>82.5</v>
      </c>
      <c r="L9" s="64">
        <f t="shared" si="1"/>
        <v>173.5</v>
      </c>
      <c r="M9" s="65" t="s">
        <v>89</v>
      </c>
      <c r="N9" s="66"/>
      <c r="O9" s="67"/>
      <c r="P9" s="1"/>
      <c r="Q9" s="1">
        <f t="shared" si="2"/>
        <v>0</v>
      </c>
    </row>
    <row r="10" spans="2:17" ht="20.100000000000001" customHeight="1">
      <c r="B10" s="57">
        <v>4</v>
      </c>
      <c r="C10" s="58" t="str">
        <f t="shared" si="0"/>
        <v>AA5</v>
      </c>
      <c r="D10" s="58">
        <v>5</v>
      </c>
      <c r="E10" s="59" t="s">
        <v>90</v>
      </c>
      <c r="F10" s="60" t="s">
        <v>91</v>
      </c>
      <c r="G10" s="61" t="s">
        <v>92</v>
      </c>
      <c r="H10" s="62">
        <v>85.5</v>
      </c>
      <c r="I10" s="63" t="s">
        <v>93</v>
      </c>
      <c r="J10" s="62" t="s">
        <v>94</v>
      </c>
      <c r="K10" s="62">
        <v>85.5</v>
      </c>
      <c r="L10" s="64">
        <f t="shared" si="1"/>
        <v>171</v>
      </c>
      <c r="M10" s="65" t="s">
        <v>95</v>
      </c>
      <c r="N10" s="66"/>
      <c r="O10" s="67"/>
      <c r="P10" s="1">
        <v>96</v>
      </c>
      <c r="Q10" s="1">
        <f t="shared" si="2"/>
        <v>48</v>
      </c>
    </row>
    <row r="11" spans="2:17" ht="20.100000000000001" customHeight="1">
      <c r="B11" s="57">
        <v>7</v>
      </c>
      <c r="C11" s="58" t="str">
        <f t="shared" si="0"/>
        <v>AA6</v>
      </c>
      <c r="D11" s="58">
        <v>6</v>
      </c>
      <c r="E11" s="59" t="s">
        <v>96</v>
      </c>
      <c r="F11" s="60" t="s">
        <v>97</v>
      </c>
      <c r="G11" s="61" t="s">
        <v>98</v>
      </c>
      <c r="H11" s="62">
        <v>78.5</v>
      </c>
      <c r="I11" s="63" t="s">
        <v>99</v>
      </c>
      <c r="J11" s="62" t="s">
        <v>100</v>
      </c>
      <c r="K11" s="62">
        <v>77</v>
      </c>
      <c r="L11" s="64">
        <f t="shared" si="1"/>
        <v>155.5</v>
      </c>
      <c r="M11" s="65" t="s">
        <v>101</v>
      </c>
      <c r="N11" s="66"/>
      <c r="O11" s="67"/>
      <c r="P11" s="1">
        <v>90</v>
      </c>
      <c r="Q11" s="1">
        <f t="shared" si="2"/>
        <v>45</v>
      </c>
    </row>
    <row r="12" spans="2:17" ht="20.100000000000001" customHeight="1">
      <c r="B12" s="57">
        <v>6</v>
      </c>
      <c r="C12" s="58" t="str">
        <f t="shared" si="0"/>
        <v>AA7</v>
      </c>
      <c r="D12" s="58">
        <v>7</v>
      </c>
      <c r="E12" s="59" t="s">
        <v>102</v>
      </c>
      <c r="F12" s="59" t="s">
        <v>103</v>
      </c>
      <c r="G12" s="61" t="s">
        <v>104</v>
      </c>
      <c r="H12" s="62">
        <v>75</v>
      </c>
      <c r="I12" s="62" t="s">
        <v>105</v>
      </c>
      <c r="J12" s="62" t="s">
        <v>106</v>
      </c>
      <c r="K12" s="62">
        <v>75</v>
      </c>
      <c r="L12" s="64">
        <f t="shared" si="1"/>
        <v>150</v>
      </c>
      <c r="M12" s="65" t="s">
        <v>107</v>
      </c>
      <c r="N12" s="66"/>
      <c r="O12" s="67"/>
      <c r="P12" s="1">
        <v>84</v>
      </c>
      <c r="Q12" s="1">
        <f t="shared" si="2"/>
        <v>42</v>
      </c>
    </row>
    <row r="13" spans="2:17" ht="20.100000000000001" customHeight="1">
      <c r="B13" s="68">
        <v>9</v>
      </c>
      <c r="C13" s="69" t="str">
        <f t="shared" si="0"/>
        <v>AA8</v>
      </c>
      <c r="D13" s="69">
        <v>8</v>
      </c>
      <c r="E13" s="70" t="s">
        <v>108</v>
      </c>
      <c r="F13" s="71" t="s">
        <v>109</v>
      </c>
      <c r="G13" s="72" t="s">
        <v>110</v>
      </c>
      <c r="H13" s="73">
        <v>66.75</v>
      </c>
      <c r="I13" s="74" t="s">
        <v>111</v>
      </c>
      <c r="J13" s="73" t="s">
        <v>112</v>
      </c>
      <c r="K13" s="73">
        <v>76</v>
      </c>
      <c r="L13" s="75">
        <f t="shared" si="1"/>
        <v>142.75</v>
      </c>
      <c r="M13" s="76" t="s">
        <v>113</v>
      </c>
      <c r="N13" s="77"/>
      <c r="O13" s="78"/>
      <c r="P13" s="1">
        <v>78</v>
      </c>
      <c r="Q13" s="1">
        <f t="shared" si="2"/>
        <v>39</v>
      </c>
    </row>
    <row r="14" spans="2:17" ht="20.100000000000001" customHeight="1">
      <c r="B14" s="79">
        <v>8</v>
      </c>
      <c r="C14" s="80" t="str">
        <f t="shared" si="0"/>
        <v>A1</v>
      </c>
      <c r="D14" s="80">
        <v>9</v>
      </c>
      <c r="E14" s="80" t="s">
        <v>114</v>
      </c>
      <c r="F14" s="81" t="s">
        <v>115</v>
      </c>
      <c r="G14" s="82" t="s">
        <v>116</v>
      </c>
      <c r="H14" s="59">
        <v>93</v>
      </c>
      <c r="I14" s="81" t="s">
        <v>117</v>
      </c>
      <c r="J14" s="80" t="s">
        <v>118</v>
      </c>
      <c r="K14" s="59">
        <v>40.5</v>
      </c>
      <c r="L14" s="83">
        <f t="shared" si="1"/>
        <v>133.5</v>
      </c>
      <c r="M14" s="84" t="s">
        <v>119</v>
      </c>
      <c r="N14" s="85"/>
      <c r="O14" s="80"/>
      <c r="P14" s="1">
        <v>120</v>
      </c>
      <c r="Q14" s="1">
        <f t="shared" si="2"/>
        <v>60</v>
      </c>
    </row>
    <row r="15" spans="2:17" ht="20.100000000000001" customHeight="1">
      <c r="B15" s="86">
        <v>10</v>
      </c>
      <c r="C15" s="87" t="str">
        <f t="shared" si="0"/>
        <v>B1</v>
      </c>
      <c r="D15" s="87">
        <v>10</v>
      </c>
      <c r="E15" s="88" t="s">
        <v>120</v>
      </c>
      <c r="F15" s="88" t="s">
        <v>121</v>
      </c>
      <c r="G15" s="89" t="s">
        <v>122</v>
      </c>
      <c r="H15" s="62">
        <v>70</v>
      </c>
      <c r="I15" s="88" t="s">
        <v>123</v>
      </c>
      <c r="J15" s="87" t="s">
        <v>124</v>
      </c>
      <c r="K15" s="62">
        <v>57</v>
      </c>
      <c r="L15" s="90">
        <f t="shared" si="1"/>
        <v>127</v>
      </c>
      <c r="M15" s="65" t="s">
        <v>125</v>
      </c>
      <c r="N15" s="66"/>
      <c r="O15" s="87"/>
      <c r="P15" s="1">
        <v>108</v>
      </c>
      <c r="Q15" s="1">
        <f t="shared" si="2"/>
        <v>54</v>
      </c>
    </row>
    <row r="16" spans="2:17" ht="20.100000000000001" customHeight="1">
      <c r="B16" s="86">
        <v>15</v>
      </c>
      <c r="C16" s="87" t="str">
        <f t="shared" si="0"/>
        <v>C1</v>
      </c>
      <c r="D16" s="87">
        <v>11</v>
      </c>
      <c r="E16" s="87" t="s">
        <v>126</v>
      </c>
      <c r="F16" s="88" t="s">
        <v>127</v>
      </c>
      <c r="G16" s="87" t="s">
        <v>128</v>
      </c>
      <c r="H16" s="62">
        <v>61.75</v>
      </c>
      <c r="I16" s="88" t="s">
        <v>129</v>
      </c>
      <c r="J16" s="87" t="s">
        <v>130</v>
      </c>
      <c r="K16" s="62">
        <v>55</v>
      </c>
      <c r="L16" s="90">
        <f t="shared" si="1"/>
        <v>116.75</v>
      </c>
      <c r="M16" s="65" t="s">
        <v>131</v>
      </c>
      <c r="N16" s="66"/>
      <c r="O16" s="87"/>
      <c r="P16" s="1">
        <v>84</v>
      </c>
      <c r="Q16" s="1">
        <f t="shared" si="2"/>
        <v>42</v>
      </c>
    </row>
    <row r="17" spans="2:17" ht="20.100000000000001" customHeight="1">
      <c r="B17" s="86">
        <v>11</v>
      </c>
      <c r="C17" s="87" t="str">
        <f t="shared" si="0"/>
        <v>D1</v>
      </c>
      <c r="D17" s="87">
        <v>12</v>
      </c>
      <c r="E17" s="87" t="s">
        <v>132</v>
      </c>
      <c r="F17" s="88" t="s">
        <v>133</v>
      </c>
      <c r="G17" s="89" t="s">
        <v>134</v>
      </c>
      <c r="H17" s="62">
        <v>75</v>
      </c>
      <c r="I17" s="88" t="s">
        <v>135</v>
      </c>
      <c r="J17" s="87" t="s">
        <v>136</v>
      </c>
      <c r="K17" s="62">
        <v>40.5</v>
      </c>
      <c r="L17" s="90">
        <f t="shared" si="1"/>
        <v>115.5</v>
      </c>
      <c r="M17" s="65" t="s">
        <v>137</v>
      </c>
      <c r="N17" s="66"/>
      <c r="O17" s="87"/>
      <c r="P17" s="1">
        <v>54</v>
      </c>
      <c r="Q17" s="1">
        <f t="shared" si="2"/>
        <v>27</v>
      </c>
    </row>
    <row r="18" spans="2:17" ht="20.100000000000001" customHeight="1">
      <c r="B18" s="86">
        <v>12</v>
      </c>
      <c r="C18" s="87" t="str">
        <f t="shared" si="0"/>
        <v>E1</v>
      </c>
      <c r="D18" s="87">
        <v>13</v>
      </c>
      <c r="E18" s="87" t="s">
        <v>138</v>
      </c>
      <c r="F18" s="88" t="s">
        <v>139</v>
      </c>
      <c r="G18" s="87" t="s">
        <v>140</v>
      </c>
      <c r="H18" s="62">
        <v>55.5</v>
      </c>
      <c r="I18" s="88" t="s">
        <v>141</v>
      </c>
      <c r="J18" s="87" t="s">
        <v>142</v>
      </c>
      <c r="K18" s="62">
        <v>55.5</v>
      </c>
      <c r="L18" s="90">
        <f t="shared" si="1"/>
        <v>111</v>
      </c>
      <c r="M18" s="65" t="s">
        <v>143</v>
      </c>
      <c r="N18" s="66"/>
      <c r="O18" s="87"/>
      <c r="P18" s="91">
        <v>96</v>
      </c>
      <c r="Q18" s="1">
        <f t="shared" si="2"/>
        <v>48</v>
      </c>
    </row>
    <row r="19" spans="2:17" ht="20.100000000000001" customHeight="1">
      <c r="B19" s="86">
        <v>13</v>
      </c>
      <c r="C19" s="87" t="str">
        <f t="shared" si="0"/>
        <v>F1</v>
      </c>
      <c r="D19" s="87">
        <v>14</v>
      </c>
      <c r="E19" s="87" t="s">
        <v>144</v>
      </c>
      <c r="F19" s="88" t="s">
        <v>145</v>
      </c>
      <c r="G19" s="87" t="s">
        <v>146</v>
      </c>
      <c r="H19" s="62">
        <v>54.75</v>
      </c>
      <c r="I19" s="88" t="s">
        <v>147</v>
      </c>
      <c r="J19" s="87" t="s">
        <v>148</v>
      </c>
      <c r="K19" s="62">
        <v>54.75</v>
      </c>
      <c r="L19" s="90">
        <f t="shared" si="1"/>
        <v>109.5</v>
      </c>
      <c r="M19" s="65" t="s">
        <v>149</v>
      </c>
      <c r="N19" s="66"/>
      <c r="O19" s="87"/>
      <c r="P19" s="1">
        <v>72</v>
      </c>
      <c r="Q19" s="1">
        <f t="shared" si="2"/>
        <v>36</v>
      </c>
    </row>
    <row r="20" spans="2:17" ht="20.100000000000001" customHeight="1">
      <c r="B20" s="86">
        <v>14</v>
      </c>
      <c r="C20" s="87" t="str">
        <f t="shared" si="0"/>
        <v>G1</v>
      </c>
      <c r="D20" s="87">
        <v>15</v>
      </c>
      <c r="E20" s="87" t="s">
        <v>150</v>
      </c>
      <c r="F20" s="88" t="s">
        <v>151</v>
      </c>
      <c r="G20" s="87" t="s">
        <v>152</v>
      </c>
      <c r="H20" s="62">
        <v>54</v>
      </c>
      <c r="I20" s="88" t="s">
        <v>153</v>
      </c>
      <c r="J20" s="87" t="s">
        <v>154</v>
      </c>
      <c r="K20" s="62">
        <v>54</v>
      </c>
      <c r="L20" s="90">
        <f t="shared" si="1"/>
        <v>108</v>
      </c>
      <c r="M20" s="65" t="s">
        <v>155</v>
      </c>
      <c r="N20" s="66"/>
      <c r="O20" s="87"/>
      <c r="P20" s="1">
        <v>0</v>
      </c>
      <c r="Q20" s="1">
        <f t="shared" si="2"/>
        <v>0</v>
      </c>
    </row>
    <row r="21" spans="2:17" ht="20.100000000000001" customHeight="1">
      <c r="B21" s="86">
        <v>16</v>
      </c>
      <c r="C21" s="87" t="str">
        <f t="shared" si="0"/>
        <v>H1</v>
      </c>
      <c r="D21" s="87">
        <v>16</v>
      </c>
      <c r="E21" s="87" t="s">
        <v>156</v>
      </c>
      <c r="F21" s="88" t="s">
        <v>157</v>
      </c>
      <c r="G21" s="87" t="s">
        <v>158</v>
      </c>
      <c r="H21" s="62">
        <v>93</v>
      </c>
      <c r="I21" s="88" t="s">
        <v>159</v>
      </c>
      <c r="J21" s="87" t="s">
        <v>160</v>
      </c>
      <c r="K21" s="62">
        <v>0</v>
      </c>
      <c r="L21" s="90">
        <f t="shared" si="1"/>
        <v>93</v>
      </c>
      <c r="M21" s="65" t="s">
        <v>161</v>
      </c>
      <c r="N21" s="66"/>
      <c r="O21" s="87"/>
      <c r="P21" s="1">
        <v>72</v>
      </c>
      <c r="Q21" s="1">
        <f t="shared" si="2"/>
        <v>36</v>
      </c>
    </row>
    <row r="22" spans="2:17" ht="20.100000000000001" customHeight="1">
      <c r="B22" s="86">
        <v>19</v>
      </c>
      <c r="C22" s="87" t="str">
        <f t="shared" si="0"/>
        <v>H2</v>
      </c>
      <c r="D22" s="87">
        <v>17</v>
      </c>
      <c r="E22" s="87" t="s">
        <v>162</v>
      </c>
      <c r="F22" s="88" t="s">
        <v>163</v>
      </c>
      <c r="G22" s="87" t="s">
        <v>164</v>
      </c>
      <c r="H22" s="62">
        <v>75</v>
      </c>
      <c r="I22" s="88" t="s">
        <v>165</v>
      </c>
      <c r="J22" s="87" t="s">
        <v>166</v>
      </c>
      <c r="K22" s="62">
        <v>16.5</v>
      </c>
      <c r="L22" s="90">
        <f t="shared" si="1"/>
        <v>91.5</v>
      </c>
      <c r="M22" s="65" t="s">
        <v>167</v>
      </c>
      <c r="N22" s="66"/>
      <c r="O22" s="87"/>
      <c r="P22" s="1">
        <v>0</v>
      </c>
      <c r="Q22" s="1">
        <f t="shared" si="2"/>
        <v>0</v>
      </c>
    </row>
    <row r="23" spans="2:17" ht="20.100000000000001" customHeight="1">
      <c r="B23" s="86">
        <v>17</v>
      </c>
      <c r="C23" s="87" t="str">
        <f t="shared" si="0"/>
        <v>G2</v>
      </c>
      <c r="D23" s="87">
        <v>18</v>
      </c>
      <c r="E23" s="88" t="s">
        <v>168</v>
      </c>
      <c r="F23" s="88" t="s">
        <v>169</v>
      </c>
      <c r="G23" s="89" t="s">
        <v>170</v>
      </c>
      <c r="H23" s="62">
        <v>25.5</v>
      </c>
      <c r="I23" s="88" t="s">
        <v>171</v>
      </c>
      <c r="J23" s="87" t="s">
        <v>172</v>
      </c>
      <c r="K23" s="62">
        <v>61.5</v>
      </c>
      <c r="L23" s="90">
        <f t="shared" si="1"/>
        <v>87</v>
      </c>
      <c r="M23" s="65" t="s">
        <v>173</v>
      </c>
      <c r="N23" s="66"/>
      <c r="O23" s="87"/>
      <c r="P23" s="1">
        <v>54</v>
      </c>
      <c r="Q23" s="1">
        <f t="shared" si="2"/>
        <v>27</v>
      </c>
    </row>
    <row r="24" spans="2:17" ht="20.100000000000001" customHeight="1">
      <c r="B24" s="86">
        <v>20</v>
      </c>
      <c r="C24" s="87" t="str">
        <f t="shared" si="0"/>
        <v>F2</v>
      </c>
      <c r="D24" s="87">
        <v>19</v>
      </c>
      <c r="E24" s="88" t="s">
        <v>174</v>
      </c>
      <c r="F24" s="88" t="s">
        <v>175</v>
      </c>
      <c r="G24" s="87" t="s">
        <v>176</v>
      </c>
      <c r="H24" s="62">
        <v>36</v>
      </c>
      <c r="I24" s="88" t="s">
        <v>177</v>
      </c>
      <c r="J24" s="87" t="s">
        <v>178</v>
      </c>
      <c r="K24" s="62">
        <v>36</v>
      </c>
      <c r="L24" s="90">
        <f t="shared" si="1"/>
        <v>72</v>
      </c>
      <c r="M24" s="65" t="s">
        <v>179</v>
      </c>
      <c r="N24" s="66"/>
      <c r="O24" s="87"/>
      <c r="P24" s="92">
        <v>48</v>
      </c>
      <c r="Q24" s="1">
        <f t="shared" si="2"/>
        <v>24</v>
      </c>
    </row>
    <row r="25" spans="2:17" ht="20.100000000000001" customHeight="1">
      <c r="B25" s="86">
        <v>24</v>
      </c>
      <c r="C25" s="87" t="str">
        <f t="shared" si="0"/>
        <v>E2</v>
      </c>
      <c r="D25" s="87">
        <v>20</v>
      </c>
      <c r="E25" s="88" t="s">
        <v>180</v>
      </c>
      <c r="F25" s="88" t="s">
        <v>181</v>
      </c>
      <c r="G25" s="87" t="s">
        <v>182</v>
      </c>
      <c r="H25" s="62">
        <v>50</v>
      </c>
      <c r="I25" s="88" t="s">
        <v>183</v>
      </c>
      <c r="J25" s="87" t="s">
        <v>184</v>
      </c>
      <c r="K25" s="62">
        <v>15.75</v>
      </c>
      <c r="L25" s="90">
        <f t="shared" si="1"/>
        <v>65.75</v>
      </c>
      <c r="M25" s="65" t="s">
        <v>185</v>
      </c>
      <c r="N25" s="66"/>
      <c r="O25" s="87"/>
      <c r="P25" s="1">
        <v>54</v>
      </c>
      <c r="Q25" s="1">
        <f t="shared" si="2"/>
        <v>27</v>
      </c>
    </row>
    <row r="26" spans="2:17" ht="20.100000000000001" customHeight="1">
      <c r="B26" s="86">
        <v>21</v>
      </c>
      <c r="C26" s="87" t="str">
        <f t="shared" si="0"/>
        <v>D2</v>
      </c>
      <c r="D26" s="87">
        <v>21</v>
      </c>
      <c r="E26" s="88" t="s">
        <v>186</v>
      </c>
      <c r="F26" s="88" t="s">
        <v>187</v>
      </c>
      <c r="G26" s="87" t="s">
        <v>188</v>
      </c>
      <c r="H26" s="62">
        <v>33.75</v>
      </c>
      <c r="I26" s="88" t="s">
        <v>189</v>
      </c>
      <c r="J26" s="87" t="s">
        <v>190</v>
      </c>
      <c r="K26" s="62">
        <v>27</v>
      </c>
      <c r="L26" s="90">
        <f t="shared" si="1"/>
        <v>60.75</v>
      </c>
      <c r="M26" s="65" t="s">
        <v>191</v>
      </c>
      <c r="N26" s="66"/>
      <c r="O26" s="87"/>
      <c r="P26" s="1">
        <v>54</v>
      </c>
      <c r="Q26" s="1">
        <f t="shared" si="2"/>
        <v>27</v>
      </c>
    </row>
    <row r="27" spans="2:17" ht="20.100000000000001" customHeight="1">
      <c r="B27" s="86">
        <v>22</v>
      </c>
      <c r="C27" s="87" t="str">
        <f t="shared" si="0"/>
        <v>C2</v>
      </c>
      <c r="D27" s="87">
        <v>22</v>
      </c>
      <c r="E27" s="93" t="s">
        <v>192</v>
      </c>
      <c r="F27" s="88" t="s">
        <v>193</v>
      </c>
      <c r="G27" s="87" t="s">
        <v>194</v>
      </c>
      <c r="H27" s="62">
        <v>28.5</v>
      </c>
      <c r="I27" s="88" t="s">
        <v>195</v>
      </c>
      <c r="J27" s="87" t="s">
        <v>196</v>
      </c>
      <c r="K27" s="62">
        <v>28.5</v>
      </c>
      <c r="L27" s="90">
        <f t="shared" si="1"/>
        <v>57</v>
      </c>
      <c r="M27" s="65" t="s">
        <v>197</v>
      </c>
      <c r="N27" s="66"/>
      <c r="O27" s="87"/>
      <c r="P27" s="1">
        <v>0</v>
      </c>
      <c r="Q27" s="1">
        <f t="shared" si="2"/>
        <v>0</v>
      </c>
    </row>
    <row r="28" spans="2:17" ht="20.100000000000001" customHeight="1">
      <c r="B28" s="86">
        <v>23</v>
      </c>
      <c r="C28" s="87" t="str">
        <f t="shared" si="0"/>
        <v>B2</v>
      </c>
      <c r="D28" s="87">
        <v>23</v>
      </c>
      <c r="E28" s="87" t="s">
        <v>198</v>
      </c>
      <c r="F28" s="88" t="s">
        <v>199</v>
      </c>
      <c r="G28" s="89" t="s">
        <v>200</v>
      </c>
      <c r="H28" s="62">
        <v>30</v>
      </c>
      <c r="I28" s="88" t="s">
        <v>201</v>
      </c>
      <c r="J28" s="87" t="s">
        <v>202</v>
      </c>
      <c r="K28" s="62">
        <v>24</v>
      </c>
      <c r="L28" s="90">
        <f t="shared" si="1"/>
        <v>54</v>
      </c>
      <c r="M28" s="65" t="s">
        <v>203</v>
      </c>
      <c r="N28" s="66"/>
      <c r="O28" s="87"/>
      <c r="P28" s="1">
        <v>72</v>
      </c>
      <c r="Q28" s="1">
        <f t="shared" si="2"/>
        <v>36</v>
      </c>
    </row>
    <row r="29" spans="2:17" ht="20.100000000000001" customHeight="1">
      <c r="B29" s="86">
        <v>26</v>
      </c>
      <c r="C29" s="87" t="str">
        <f t="shared" si="0"/>
        <v>A2</v>
      </c>
      <c r="D29" s="87">
        <v>24</v>
      </c>
      <c r="E29" s="87" t="s">
        <v>204</v>
      </c>
      <c r="F29" s="88" t="s">
        <v>205</v>
      </c>
      <c r="G29" s="87" t="s">
        <v>206</v>
      </c>
      <c r="H29" s="62">
        <v>42</v>
      </c>
      <c r="I29" s="88" t="s">
        <v>207</v>
      </c>
      <c r="J29" s="87" t="s">
        <v>208</v>
      </c>
      <c r="K29" s="62">
        <v>1.5</v>
      </c>
      <c r="L29" s="90">
        <f t="shared" si="1"/>
        <v>43.5</v>
      </c>
      <c r="M29" s="65" t="s">
        <v>209</v>
      </c>
      <c r="N29" s="66"/>
      <c r="O29" s="87"/>
      <c r="P29" s="1">
        <v>0</v>
      </c>
      <c r="Q29" s="1">
        <f t="shared" si="2"/>
        <v>0</v>
      </c>
    </row>
    <row r="30" spans="2:17" ht="20.100000000000001" customHeight="1">
      <c r="B30" s="86">
        <v>25</v>
      </c>
      <c r="C30" s="87" t="str">
        <f t="shared" si="0"/>
        <v>A3</v>
      </c>
      <c r="D30" s="87">
        <v>25</v>
      </c>
      <c r="E30" s="87" t="s">
        <v>210</v>
      </c>
      <c r="F30" s="88" t="s">
        <v>211</v>
      </c>
      <c r="G30" s="89" t="s">
        <v>212</v>
      </c>
      <c r="H30" s="62">
        <v>18.75</v>
      </c>
      <c r="I30" s="88" t="s">
        <v>213</v>
      </c>
      <c r="J30" s="87" t="s">
        <v>214</v>
      </c>
      <c r="K30" s="62">
        <v>24</v>
      </c>
      <c r="L30" s="90">
        <f t="shared" si="1"/>
        <v>42.75</v>
      </c>
      <c r="M30" s="65" t="s">
        <v>215</v>
      </c>
      <c r="N30" s="66"/>
      <c r="O30" s="87"/>
      <c r="P30" s="1">
        <v>54</v>
      </c>
      <c r="Q30" s="1">
        <f t="shared" si="2"/>
        <v>27</v>
      </c>
    </row>
    <row r="31" spans="2:17" ht="20.100000000000001" customHeight="1">
      <c r="B31" s="86">
        <v>18</v>
      </c>
      <c r="C31" s="87" t="str">
        <f t="shared" si="0"/>
        <v>B3</v>
      </c>
      <c r="D31" s="87">
        <v>26</v>
      </c>
      <c r="E31" s="87" t="s">
        <v>216</v>
      </c>
      <c r="F31" s="88" t="s">
        <v>217</v>
      </c>
      <c r="G31" s="89" t="s">
        <v>218</v>
      </c>
      <c r="H31" s="62">
        <v>37.5</v>
      </c>
      <c r="I31" s="88" t="s">
        <v>219</v>
      </c>
      <c r="J31" s="87" t="s">
        <v>220</v>
      </c>
      <c r="K31" s="62">
        <v>0</v>
      </c>
      <c r="L31" s="90">
        <f t="shared" si="1"/>
        <v>37.5</v>
      </c>
      <c r="M31" s="65" t="s">
        <v>221</v>
      </c>
      <c r="N31" s="66"/>
      <c r="O31" s="87"/>
      <c r="P31" s="1">
        <v>48</v>
      </c>
      <c r="Q31" s="1">
        <f t="shared" si="2"/>
        <v>24</v>
      </c>
    </row>
    <row r="32" spans="2:17" ht="20.100000000000001" customHeight="1">
      <c r="B32" s="86">
        <v>27</v>
      </c>
      <c r="C32" s="87" t="str">
        <f t="shared" si="0"/>
        <v>C3</v>
      </c>
      <c r="D32" s="87">
        <v>27</v>
      </c>
      <c r="E32" s="87" t="s">
        <v>222</v>
      </c>
      <c r="F32" s="88" t="s">
        <v>223</v>
      </c>
      <c r="G32" s="89" t="s">
        <v>224</v>
      </c>
      <c r="H32" s="62">
        <v>36</v>
      </c>
      <c r="I32" s="88" t="s">
        <v>225</v>
      </c>
      <c r="J32" s="87" t="s">
        <v>226</v>
      </c>
      <c r="K32" s="62">
        <v>0</v>
      </c>
      <c r="L32" s="90">
        <f t="shared" si="1"/>
        <v>36</v>
      </c>
      <c r="M32" s="65" t="s">
        <v>227</v>
      </c>
      <c r="N32" s="66"/>
      <c r="O32" s="87"/>
      <c r="P32" s="1">
        <v>54</v>
      </c>
      <c r="Q32" s="1">
        <f t="shared" si="2"/>
        <v>27</v>
      </c>
    </row>
    <row r="33" spans="2:17" ht="20.100000000000001" customHeight="1">
      <c r="B33" s="86">
        <v>28</v>
      </c>
      <c r="C33" s="87" t="str">
        <f t="shared" si="0"/>
        <v>D3</v>
      </c>
      <c r="D33" s="87">
        <v>28</v>
      </c>
      <c r="E33" s="88" t="s">
        <v>228</v>
      </c>
      <c r="F33" s="88" t="s">
        <v>229</v>
      </c>
      <c r="G33" s="89" t="s">
        <v>230</v>
      </c>
      <c r="H33" s="62">
        <v>34.5</v>
      </c>
      <c r="I33" s="88" t="s">
        <v>231</v>
      </c>
      <c r="J33" s="87" t="s">
        <v>232</v>
      </c>
      <c r="K33" s="62">
        <v>0</v>
      </c>
      <c r="L33" s="90">
        <f t="shared" si="1"/>
        <v>34.5</v>
      </c>
      <c r="M33" s="65" t="s">
        <v>233</v>
      </c>
      <c r="N33" s="66"/>
      <c r="O33" s="87"/>
      <c r="P33" s="1">
        <v>48</v>
      </c>
      <c r="Q33" s="1">
        <f t="shared" si="2"/>
        <v>24</v>
      </c>
    </row>
    <row r="34" spans="2:17" ht="20.100000000000001" customHeight="1">
      <c r="B34" s="86">
        <v>29</v>
      </c>
      <c r="C34" s="87" t="str">
        <f t="shared" si="0"/>
        <v>E3</v>
      </c>
      <c r="D34" s="87">
        <v>29</v>
      </c>
      <c r="E34" s="88" t="s">
        <v>234</v>
      </c>
      <c r="F34" s="88" t="s">
        <v>235</v>
      </c>
      <c r="G34" s="89" t="s">
        <v>236</v>
      </c>
      <c r="H34" s="62">
        <v>9</v>
      </c>
      <c r="I34" s="88" t="s">
        <v>237</v>
      </c>
      <c r="J34" s="87" t="s">
        <v>238</v>
      </c>
      <c r="K34" s="62">
        <v>9</v>
      </c>
      <c r="L34" s="90">
        <f t="shared" si="1"/>
        <v>18</v>
      </c>
      <c r="M34" s="65" t="s">
        <v>239</v>
      </c>
      <c r="N34" s="66"/>
      <c r="O34" s="87"/>
      <c r="P34" s="1">
        <v>0</v>
      </c>
      <c r="Q34" s="1">
        <f t="shared" si="2"/>
        <v>0</v>
      </c>
    </row>
    <row r="35" spans="2:17" ht="20.100000000000001" customHeight="1">
      <c r="B35" s="86">
        <v>30</v>
      </c>
      <c r="C35" s="87" t="str">
        <f t="shared" si="0"/>
        <v>F3</v>
      </c>
      <c r="D35" s="87">
        <v>30</v>
      </c>
      <c r="E35" s="88">
        <v>1987.5</v>
      </c>
      <c r="F35" s="88" t="s">
        <v>240</v>
      </c>
      <c r="G35" s="89" t="s">
        <v>241</v>
      </c>
      <c r="H35" s="62">
        <v>11.25</v>
      </c>
      <c r="I35" s="88" t="s">
        <v>242</v>
      </c>
      <c r="J35" s="87" t="s">
        <v>243</v>
      </c>
      <c r="K35" s="62">
        <v>0</v>
      </c>
      <c r="L35" s="90">
        <f t="shared" si="1"/>
        <v>11.25</v>
      </c>
      <c r="M35" s="65" t="s">
        <v>244</v>
      </c>
      <c r="N35" s="66"/>
      <c r="O35" s="87"/>
      <c r="P35" s="1">
        <v>72</v>
      </c>
      <c r="Q35" s="1">
        <f t="shared" si="2"/>
        <v>36</v>
      </c>
    </row>
    <row r="36" spans="2:17" ht="20.100000000000001" customHeight="1">
      <c r="B36" s="86">
        <v>31</v>
      </c>
      <c r="C36" s="87" t="str">
        <f t="shared" si="0"/>
        <v>G3</v>
      </c>
      <c r="D36" s="87">
        <v>31</v>
      </c>
      <c r="E36" s="88" t="s">
        <v>245</v>
      </c>
      <c r="F36" s="88" t="s">
        <v>246</v>
      </c>
      <c r="G36" s="87" t="s">
        <v>247</v>
      </c>
      <c r="H36" s="62">
        <v>0</v>
      </c>
      <c r="I36" s="88" t="s">
        <v>248</v>
      </c>
      <c r="J36" s="87" t="s">
        <v>249</v>
      </c>
      <c r="K36" s="62">
        <v>6.75</v>
      </c>
      <c r="L36" s="90">
        <f t="shared" si="1"/>
        <v>6.75</v>
      </c>
      <c r="M36" s="65" t="s">
        <v>250</v>
      </c>
      <c r="N36" s="66"/>
      <c r="O36" s="87"/>
      <c r="P36" s="1">
        <v>54</v>
      </c>
      <c r="Q36" s="1">
        <f t="shared" si="2"/>
        <v>27</v>
      </c>
    </row>
    <row r="37" spans="2:17" ht="20.100000000000001" customHeight="1">
      <c r="B37" s="86">
        <v>32</v>
      </c>
      <c r="C37" s="87" t="str">
        <f t="shared" si="0"/>
        <v>H3</v>
      </c>
      <c r="D37" s="87">
        <v>32</v>
      </c>
      <c r="E37" s="87" t="s">
        <v>251</v>
      </c>
      <c r="F37" s="88" t="s">
        <v>252</v>
      </c>
      <c r="G37" s="89" t="s">
        <v>253</v>
      </c>
      <c r="H37" s="62">
        <v>6</v>
      </c>
      <c r="I37" s="88" t="s">
        <v>254</v>
      </c>
      <c r="J37" s="94" t="s">
        <v>255</v>
      </c>
      <c r="K37" s="62">
        <v>0</v>
      </c>
      <c r="L37" s="90">
        <f t="shared" si="1"/>
        <v>6</v>
      </c>
      <c r="M37" s="65" t="s">
        <v>256</v>
      </c>
      <c r="N37" s="66"/>
      <c r="O37" s="87"/>
      <c r="P37" s="1">
        <v>48</v>
      </c>
      <c r="Q37" s="1">
        <f t="shared" si="2"/>
        <v>24</v>
      </c>
    </row>
    <row r="38" spans="2:17" ht="20.100000000000001" customHeight="1">
      <c r="B38" s="86">
        <v>33</v>
      </c>
      <c r="C38" s="87" t="str">
        <f t="shared" ref="C38:C54" si="3">M38</f>
        <v>H4</v>
      </c>
      <c r="D38" s="87">
        <v>33</v>
      </c>
      <c r="E38" s="87" t="s">
        <v>257</v>
      </c>
      <c r="F38" s="88" t="s">
        <v>258</v>
      </c>
      <c r="G38" s="87" t="s">
        <v>259</v>
      </c>
      <c r="H38" s="62">
        <v>0</v>
      </c>
      <c r="I38" s="88" t="s">
        <v>260</v>
      </c>
      <c r="J38" s="87" t="s">
        <v>261</v>
      </c>
      <c r="K38" s="62">
        <v>0</v>
      </c>
      <c r="L38" s="90">
        <f t="shared" ref="L38:L69" si="4">H38+K38</f>
        <v>0</v>
      </c>
      <c r="M38" s="95" t="s">
        <v>262</v>
      </c>
      <c r="N38" s="96" t="s">
        <v>263</v>
      </c>
      <c r="O38" s="87"/>
      <c r="P38" s="1">
        <v>54</v>
      </c>
      <c r="Q38" s="1">
        <f t="shared" si="2"/>
        <v>27</v>
      </c>
    </row>
    <row r="39" spans="2:17" ht="20.100000000000001" customHeight="1">
      <c r="B39" s="86">
        <v>34</v>
      </c>
      <c r="C39" s="87" t="str">
        <f t="shared" si="3"/>
        <v>F4</v>
      </c>
      <c r="D39" s="87">
        <v>33</v>
      </c>
      <c r="E39" s="87" t="s">
        <v>264</v>
      </c>
      <c r="F39" s="88" t="s">
        <v>265</v>
      </c>
      <c r="G39" s="87" t="s">
        <v>266</v>
      </c>
      <c r="H39" s="62">
        <v>0</v>
      </c>
      <c r="I39" s="97" t="s">
        <v>267</v>
      </c>
      <c r="J39" s="87" t="s">
        <v>268</v>
      </c>
      <c r="K39" s="62">
        <v>0</v>
      </c>
      <c r="L39" s="90">
        <f t="shared" si="4"/>
        <v>0</v>
      </c>
      <c r="M39" s="95" t="s">
        <v>269</v>
      </c>
      <c r="N39" s="96" t="s">
        <v>263</v>
      </c>
      <c r="O39" s="87"/>
      <c r="P39" s="1">
        <v>0</v>
      </c>
      <c r="Q39" s="1">
        <f t="shared" si="2"/>
        <v>0</v>
      </c>
    </row>
    <row r="40" spans="2:17" ht="20.100000000000001" customHeight="1">
      <c r="B40" s="86">
        <v>35</v>
      </c>
      <c r="C40" s="87" t="str">
        <f t="shared" si="3"/>
        <v>QT4</v>
      </c>
      <c r="D40" s="87">
        <v>33</v>
      </c>
      <c r="E40" s="88" t="s">
        <v>270</v>
      </c>
      <c r="F40" s="88" t="s">
        <v>271</v>
      </c>
      <c r="G40" s="98" t="s">
        <v>255</v>
      </c>
      <c r="H40" s="62">
        <v>0</v>
      </c>
      <c r="I40" s="88" t="s">
        <v>272</v>
      </c>
      <c r="J40" s="94" t="s">
        <v>255</v>
      </c>
      <c r="K40" s="62">
        <v>0</v>
      </c>
      <c r="L40" s="90">
        <f t="shared" si="4"/>
        <v>0</v>
      </c>
      <c r="M40" s="95" t="s">
        <v>273</v>
      </c>
      <c r="N40" s="96" t="s">
        <v>263</v>
      </c>
      <c r="O40" s="87"/>
      <c r="P40" s="1">
        <v>3</v>
      </c>
      <c r="Q40" s="1">
        <f t="shared" si="2"/>
        <v>1.5</v>
      </c>
    </row>
    <row r="41" spans="2:17" ht="20.100000000000001" customHeight="1">
      <c r="B41" s="86">
        <v>36</v>
      </c>
      <c r="C41" s="87" t="str">
        <f t="shared" si="3"/>
        <v>QT1</v>
      </c>
      <c r="D41" s="87">
        <v>33</v>
      </c>
      <c r="E41" s="88" t="s">
        <v>274</v>
      </c>
      <c r="F41" s="88" t="s">
        <v>275</v>
      </c>
      <c r="G41" s="94" t="s">
        <v>255</v>
      </c>
      <c r="H41" s="62">
        <v>0</v>
      </c>
      <c r="I41" s="88" t="s">
        <v>276</v>
      </c>
      <c r="J41" s="94" t="s">
        <v>255</v>
      </c>
      <c r="K41" s="62">
        <v>0</v>
      </c>
      <c r="L41" s="90">
        <f t="shared" si="4"/>
        <v>0</v>
      </c>
      <c r="M41" s="95" t="s">
        <v>277</v>
      </c>
      <c r="N41" s="96" t="s">
        <v>263</v>
      </c>
      <c r="O41" s="87"/>
      <c r="P41" s="1">
        <v>3</v>
      </c>
      <c r="Q41" s="1">
        <f t="shared" si="2"/>
        <v>1.5</v>
      </c>
    </row>
    <row r="42" spans="2:17" ht="20.100000000000001" customHeight="1">
      <c r="B42" s="86">
        <v>37</v>
      </c>
      <c r="C42" s="87" t="str">
        <f t="shared" si="3"/>
        <v>QT2</v>
      </c>
      <c r="D42" s="87">
        <v>33</v>
      </c>
      <c r="E42" s="87" t="s">
        <v>278</v>
      </c>
      <c r="F42" s="88" t="s">
        <v>279</v>
      </c>
      <c r="G42" s="98" t="s">
        <v>255</v>
      </c>
      <c r="H42" s="62">
        <v>0</v>
      </c>
      <c r="I42" s="88" t="s">
        <v>280</v>
      </c>
      <c r="J42" s="94" t="s">
        <v>255</v>
      </c>
      <c r="K42" s="62">
        <v>0</v>
      </c>
      <c r="L42" s="90">
        <f t="shared" si="4"/>
        <v>0</v>
      </c>
      <c r="M42" s="95" t="s">
        <v>281</v>
      </c>
      <c r="N42" s="96" t="s">
        <v>263</v>
      </c>
      <c r="O42" s="87"/>
      <c r="P42" s="1">
        <v>36</v>
      </c>
      <c r="Q42" s="1">
        <f t="shared" si="2"/>
        <v>18</v>
      </c>
    </row>
    <row r="43" spans="2:17" ht="20.100000000000001" customHeight="1">
      <c r="B43" s="86">
        <v>38</v>
      </c>
      <c r="C43" s="87" t="str">
        <f t="shared" si="3"/>
        <v>G4</v>
      </c>
      <c r="D43" s="87">
        <v>33</v>
      </c>
      <c r="E43" s="87" t="s">
        <v>282</v>
      </c>
      <c r="F43" s="88" t="s">
        <v>283</v>
      </c>
      <c r="G43" s="98" t="s">
        <v>255</v>
      </c>
      <c r="H43" s="62">
        <v>0</v>
      </c>
      <c r="I43" s="88" t="s">
        <v>284</v>
      </c>
      <c r="J43" s="87" t="s">
        <v>285</v>
      </c>
      <c r="K43" s="62">
        <v>0</v>
      </c>
      <c r="L43" s="90">
        <f t="shared" si="4"/>
        <v>0</v>
      </c>
      <c r="M43" s="95" t="s">
        <v>286</v>
      </c>
      <c r="N43" s="96" t="s">
        <v>263</v>
      </c>
      <c r="O43" s="87"/>
      <c r="P43" s="1">
        <v>0</v>
      </c>
      <c r="Q43" s="1">
        <f t="shared" si="2"/>
        <v>0</v>
      </c>
    </row>
    <row r="44" spans="2:17" ht="20.100000000000001" customHeight="1">
      <c r="B44" s="86">
        <v>39</v>
      </c>
      <c r="C44" s="87" t="str">
        <f t="shared" si="3"/>
        <v>QT4</v>
      </c>
      <c r="D44" s="87">
        <v>33</v>
      </c>
      <c r="E44" s="88" t="s">
        <v>287</v>
      </c>
      <c r="F44" s="88" t="s">
        <v>288</v>
      </c>
      <c r="G44" s="98" t="s">
        <v>255</v>
      </c>
      <c r="H44" s="62">
        <v>0</v>
      </c>
      <c r="I44" s="88" t="s">
        <v>289</v>
      </c>
      <c r="J44" s="94" t="s">
        <v>255</v>
      </c>
      <c r="K44" s="62">
        <v>0</v>
      </c>
      <c r="L44" s="90">
        <f t="shared" si="4"/>
        <v>0</v>
      </c>
      <c r="M44" s="95" t="s">
        <v>273</v>
      </c>
      <c r="N44" s="96" t="s">
        <v>263</v>
      </c>
      <c r="O44" s="87"/>
      <c r="P44" s="1">
        <v>3</v>
      </c>
      <c r="Q44" s="1">
        <f t="shared" si="2"/>
        <v>1.5</v>
      </c>
    </row>
    <row r="45" spans="2:17" ht="20.100000000000001" customHeight="1">
      <c r="B45" s="86">
        <v>40</v>
      </c>
      <c r="C45" s="87" t="str">
        <f t="shared" si="3"/>
        <v>QT2</v>
      </c>
      <c r="D45" s="87">
        <v>33</v>
      </c>
      <c r="E45" s="87" t="s">
        <v>290</v>
      </c>
      <c r="F45" s="88" t="s">
        <v>291</v>
      </c>
      <c r="G45" s="89" t="s">
        <v>292</v>
      </c>
      <c r="H45" s="62">
        <v>0</v>
      </c>
      <c r="I45" s="88" t="s">
        <v>293</v>
      </c>
      <c r="J45" s="87" t="s">
        <v>294</v>
      </c>
      <c r="K45" s="62">
        <v>0</v>
      </c>
      <c r="L45" s="90">
        <f t="shared" si="4"/>
        <v>0</v>
      </c>
      <c r="M45" s="95" t="s">
        <v>281</v>
      </c>
      <c r="N45" s="96" t="s">
        <v>263</v>
      </c>
      <c r="O45" s="87"/>
      <c r="P45" s="1">
        <v>0</v>
      </c>
      <c r="Q45" s="1">
        <f t="shared" si="2"/>
        <v>0</v>
      </c>
    </row>
    <row r="46" spans="2:17" ht="20.100000000000001" customHeight="1">
      <c r="B46" s="86">
        <v>41</v>
      </c>
      <c r="C46" s="87" t="str">
        <f t="shared" si="3"/>
        <v>QT3</v>
      </c>
      <c r="D46" s="87">
        <v>33</v>
      </c>
      <c r="E46" s="87" t="s">
        <v>295</v>
      </c>
      <c r="F46" s="88" t="s">
        <v>296</v>
      </c>
      <c r="G46" s="89" t="s">
        <v>297</v>
      </c>
      <c r="H46" s="62">
        <v>0</v>
      </c>
      <c r="I46" s="88" t="s">
        <v>298</v>
      </c>
      <c r="J46" s="87" t="s">
        <v>299</v>
      </c>
      <c r="K46" s="62">
        <v>0</v>
      </c>
      <c r="L46" s="90">
        <f t="shared" si="4"/>
        <v>0</v>
      </c>
      <c r="M46" s="95" t="s">
        <v>300</v>
      </c>
      <c r="N46" s="96" t="s">
        <v>263</v>
      </c>
      <c r="O46" s="87"/>
      <c r="P46" s="1">
        <v>48</v>
      </c>
      <c r="Q46" s="1">
        <f t="shared" si="2"/>
        <v>24</v>
      </c>
    </row>
    <row r="47" spans="2:17" ht="20.100000000000001" customHeight="1">
      <c r="B47" s="86">
        <v>42</v>
      </c>
      <c r="C47" s="87" t="str">
        <f t="shared" si="3"/>
        <v>E4</v>
      </c>
      <c r="D47" s="87">
        <v>33</v>
      </c>
      <c r="E47" s="87" t="s">
        <v>301</v>
      </c>
      <c r="F47" s="88" t="s">
        <v>302</v>
      </c>
      <c r="G47" s="98" t="s">
        <v>255</v>
      </c>
      <c r="H47" s="62">
        <v>0</v>
      </c>
      <c r="I47" s="88" t="s">
        <v>303</v>
      </c>
      <c r="J47" s="94" t="s">
        <v>255</v>
      </c>
      <c r="K47" s="62">
        <v>0</v>
      </c>
      <c r="L47" s="90">
        <f t="shared" si="4"/>
        <v>0</v>
      </c>
      <c r="M47" s="95" t="s">
        <v>304</v>
      </c>
      <c r="N47" s="96" t="s">
        <v>263</v>
      </c>
      <c r="O47" s="87"/>
      <c r="P47" s="1">
        <v>48</v>
      </c>
      <c r="Q47" s="1">
        <f t="shared" si="2"/>
        <v>24</v>
      </c>
    </row>
    <row r="48" spans="2:17" ht="20.100000000000001" customHeight="1">
      <c r="B48" s="86">
        <v>43</v>
      </c>
      <c r="C48" s="87" t="str">
        <f t="shared" si="3"/>
        <v>QT1</v>
      </c>
      <c r="D48" s="87">
        <v>33</v>
      </c>
      <c r="E48" s="87" t="s">
        <v>305</v>
      </c>
      <c r="F48" s="88" t="s">
        <v>306</v>
      </c>
      <c r="G48" s="89" t="s">
        <v>307</v>
      </c>
      <c r="H48" s="62">
        <v>0</v>
      </c>
      <c r="I48" s="88" t="s">
        <v>308</v>
      </c>
      <c r="J48" s="94" t="s">
        <v>255</v>
      </c>
      <c r="K48" s="62">
        <v>0</v>
      </c>
      <c r="L48" s="90">
        <f t="shared" si="4"/>
        <v>0</v>
      </c>
      <c r="M48" s="95" t="s">
        <v>277</v>
      </c>
      <c r="N48" s="96" t="s">
        <v>263</v>
      </c>
      <c r="O48" s="87"/>
      <c r="P48" s="1">
        <v>3</v>
      </c>
      <c r="Q48" s="1">
        <f t="shared" si="2"/>
        <v>1.5</v>
      </c>
    </row>
    <row r="49" spans="2:17" ht="20.100000000000001" customHeight="1">
      <c r="B49" s="86">
        <v>44</v>
      </c>
      <c r="C49" s="87" t="str">
        <f t="shared" si="3"/>
        <v>QT3</v>
      </c>
      <c r="D49" s="87">
        <v>33</v>
      </c>
      <c r="E49" s="87" t="s">
        <v>309</v>
      </c>
      <c r="F49" s="88" t="s">
        <v>310</v>
      </c>
      <c r="G49" s="94" t="s">
        <v>255</v>
      </c>
      <c r="H49" s="62">
        <v>0</v>
      </c>
      <c r="I49" s="88" t="s">
        <v>311</v>
      </c>
      <c r="J49" s="94" t="s">
        <v>255</v>
      </c>
      <c r="K49" s="62">
        <v>0</v>
      </c>
      <c r="L49" s="90">
        <f t="shared" si="4"/>
        <v>0</v>
      </c>
      <c r="M49" s="99" t="s">
        <v>300</v>
      </c>
      <c r="N49" s="96" t="s">
        <v>263</v>
      </c>
      <c r="O49" s="87"/>
      <c r="P49" s="1">
        <v>3</v>
      </c>
      <c r="Q49" s="1">
        <f t="shared" si="2"/>
        <v>1.5</v>
      </c>
    </row>
    <row r="50" spans="2:17" ht="20.100000000000001" hidden="1" customHeight="1">
      <c r="B50" s="100">
        <v>45</v>
      </c>
      <c r="C50" s="101">
        <f t="shared" si="3"/>
        <v>0</v>
      </c>
      <c r="D50" s="102">
        <v>44</v>
      </c>
      <c r="E50" s="103"/>
      <c r="F50" s="104"/>
      <c r="G50" s="104"/>
      <c r="H50" s="104"/>
      <c r="I50" s="104"/>
      <c r="J50" s="104"/>
      <c r="K50" s="101"/>
      <c r="L50" s="83">
        <f t="shared" si="4"/>
        <v>0</v>
      </c>
      <c r="M50" s="105"/>
      <c r="N50" s="85"/>
      <c r="O50" s="80"/>
    </row>
    <row r="51" spans="2:17" ht="20.100000000000001" hidden="1" customHeight="1">
      <c r="B51" s="100">
        <v>46</v>
      </c>
      <c r="C51" s="106">
        <f t="shared" si="3"/>
        <v>0</v>
      </c>
      <c r="D51" s="107">
        <v>46</v>
      </c>
      <c r="E51" s="80"/>
      <c r="F51" s="80"/>
      <c r="G51" s="80"/>
      <c r="H51" s="61" t="e">
        <f>NA()</f>
        <v>#N/A</v>
      </c>
      <c r="I51" s="80"/>
      <c r="J51" s="108"/>
      <c r="K51" s="50" t="e">
        <f>NA()</f>
        <v>#N/A</v>
      </c>
      <c r="L51" s="90" t="e">
        <f t="shared" si="4"/>
        <v>#N/A</v>
      </c>
      <c r="M51" s="109"/>
      <c r="N51" s="66"/>
      <c r="O51" s="87"/>
    </row>
    <row r="52" spans="2:17" ht="20.100000000000001" hidden="1" customHeight="1">
      <c r="B52" s="100">
        <v>47</v>
      </c>
      <c r="C52" s="106">
        <f t="shared" si="3"/>
        <v>0</v>
      </c>
      <c r="D52" s="87">
        <v>46</v>
      </c>
      <c r="E52" s="87"/>
      <c r="F52" s="87"/>
      <c r="G52" s="87"/>
      <c r="H52" s="52" t="e">
        <f>NA()</f>
        <v>#N/A</v>
      </c>
      <c r="I52" s="87"/>
      <c r="J52" s="110"/>
      <c r="K52" s="50" t="e">
        <f>NA()</f>
        <v>#N/A</v>
      </c>
      <c r="L52" s="90" t="e">
        <f t="shared" si="4"/>
        <v>#N/A</v>
      </c>
      <c r="M52" s="109"/>
      <c r="N52" s="66"/>
      <c r="O52" s="87"/>
    </row>
    <row r="53" spans="2:17" ht="20.100000000000001" hidden="1" customHeight="1">
      <c r="B53" s="100">
        <v>48</v>
      </c>
      <c r="C53" s="106">
        <f t="shared" si="3"/>
        <v>0</v>
      </c>
      <c r="D53" s="87">
        <v>46</v>
      </c>
      <c r="E53" s="87"/>
      <c r="F53" s="87"/>
      <c r="G53" s="87"/>
      <c r="H53" s="52" t="e">
        <f>NA()</f>
        <v>#N/A</v>
      </c>
      <c r="I53" s="87"/>
      <c r="J53" s="110"/>
      <c r="K53" s="50" t="e">
        <f>NA()</f>
        <v>#N/A</v>
      </c>
      <c r="L53" s="90" t="e">
        <f t="shared" si="4"/>
        <v>#N/A</v>
      </c>
      <c r="M53" s="109"/>
      <c r="N53" s="66"/>
      <c r="O53" s="87"/>
    </row>
    <row r="54" spans="2:17" ht="20.100000000000001" hidden="1" customHeight="1">
      <c r="B54" s="100">
        <v>49</v>
      </c>
      <c r="C54" s="106">
        <f t="shared" si="3"/>
        <v>0</v>
      </c>
      <c r="D54" s="87">
        <v>46</v>
      </c>
      <c r="E54" s="87"/>
      <c r="F54" s="87"/>
      <c r="G54" s="87"/>
      <c r="H54" s="52" t="e">
        <f>NA()</f>
        <v>#N/A</v>
      </c>
      <c r="I54" s="87"/>
      <c r="J54" s="110"/>
      <c r="K54" s="50" t="e">
        <f>NA()</f>
        <v>#N/A</v>
      </c>
      <c r="L54" s="90" t="e">
        <f t="shared" si="4"/>
        <v>#N/A</v>
      </c>
      <c r="M54" s="109"/>
      <c r="N54" s="66"/>
      <c r="O54" s="87"/>
    </row>
    <row r="55" spans="2:17" ht="21" hidden="1">
      <c r="B55" s="100">
        <v>50</v>
      </c>
      <c r="C55" s="111" t="str">
        <f t="shared" ref="C55:C102" si="5">N55</f>
        <v>A1</v>
      </c>
      <c r="D55" s="89">
        <v>39</v>
      </c>
      <c r="E55" s="89" t="s">
        <v>119</v>
      </c>
      <c r="F55" s="89" t="s">
        <v>209</v>
      </c>
      <c r="G55" s="89"/>
      <c r="H55" s="112" t="s">
        <v>255</v>
      </c>
      <c r="I55" s="113">
        <v>0</v>
      </c>
      <c r="J55" s="110"/>
      <c r="K55" s="50" t="e">
        <f>NA()</f>
        <v>#N/A</v>
      </c>
      <c r="L55" s="90" t="e">
        <f t="shared" si="4"/>
        <v>#VALUE!</v>
      </c>
      <c r="M55" s="114" t="e">
        <f t="shared" ref="M55:M100" si="6">I55+L55</f>
        <v>#VALUE!</v>
      </c>
      <c r="N55" s="115" t="s">
        <v>119</v>
      </c>
      <c r="O55" s="29"/>
      <c r="P55" s="88"/>
    </row>
    <row r="56" spans="2:17" ht="21" hidden="1">
      <c r="B56" s="100">
        <v>51</v>
      </c>
      <c r="C56" s="111" t="str">
        <f t="shared" si="5"/>
        <v>B1</v>
      </c>
      <c r="D56" s="89">
        <v>39</v>
      </c>
      <c r="E56" s="89" t="s">
        <v>125</v>
      </c>
      <c r="F56" s="89" t="s">
        <v>203</v>
      </c>
      <c r="G56" s="89"/>
      <c r="H56" s="89" t="s">
        <v>312</v>
      </c>
      <c r="I56" s="113">
        <v>0</v>
      </c>
      <c r="J56" s="110"/>
      <c r="K56" s="50" t="e">
        <f>NA()</f>
        <v>#N/A</v>
      </c>
      <c r="L56" s="90" t="e">
        <f t="shared" si="4"/>
        <v>#VALUE!</v>
      </c>
      <c r="M56" s="114" t="e">
        <f t="shared" si="6"/>
        <v>#VALUE!</v>
      </c>
      <c r="N56" s="115" t="s">
        <v>125</v>
      </c>
      <c r="O56" s="29"/>
      <c r="P56" s="88"/>
    </row>
    <row r="57" spans="2:17" ht="21" hidden="1">
      <c r="B57" s="100">
        <v>52</v>
      </c>
      <c r="C57" s="111" t="str">
        <f t="shared" si="5"/>
        <v>C1</v>
      </c>
      <c r="D57" s="89">
        <v>39</v>
      </c>
      <c r="E57" s="89" t="s">
        <v>131</v>
      </c>
      <c r="F57" s="116"/>
      <c r="G57" s="89"/>
      <c r="H57" s="112" t="s">
        <v>255</v>
      </c>
      <c r="I57" s="113">
        <v>0</v>
      </c>
      <c r="J57" s="110"/>
      <c r="K57" s="50" t="e">
        <f>NA()</f>
        <v>#N/A</v>
      </c>
      <c r="L57" s="90" t="e">
        <f t="shared" si="4"/>
        <v>#VALUE!</v>
      </c>
      <c r="M57" s="114" t="e">
        <f t="shared" si="6"/>
        <v>#VALUE!</v>
      </c>
      <c r="N57" s="115" t="s">
        <v>131</v>
      </c>
      <c r="O57" s="29"/>
      <c r="P57" s="88"/>
    </row>
    <row r="58" spans="2:17" ht="21" hidden="1">
      <c r="B58" s="100">
        <v>53</v>
      </c>
      <c r="C58" s="111" t="str">
        <f t="shared" si="5"/>
        <v>D1</v>
      </c>
      <c r="D58" s="89">
        <v>39</v>
      </c>
      <c r="E58" s="89" t="s">
        <v>137</v>
      </c>
      <c r="F58" s="116"/>
      <c r="G58" s="89"/>
      <c r="H58" s="89" t="s">
        <v>313</v>
      </c>
      <c r="I58" s="113">
        <v>0</v>
      </c>
      <c r="J58" s="110"/>
      <c r="K58" s="50" t="e">
        <f>NA()</f>
        <v>#N/A</v>
      </c>
      <c r="L58" s="90" t="e">
        <f t="shared" si="4"/>
        <v>#VALUE!</v>
      </c>
      <c r="M58" s="114" t="e">
        <f t="shared" si="6"/>
        <v>#VALUE!</v>
      </c>
      <c r="N58" s="115" t="s">
        <v>137</v>
      </c>
      <c r="O58" s="29"/>
      <c r="P58" s="88"/>
    </row>
    <row r="59" spans="2:17" ht="21" hidden="1">
      <c r="B59" s="100">
        <v>54</v>
      </c>
      <c r="C59" s="111" t="str">
        <f t="shared" si="5"/>
        <v>E1</v>
      </c>
      <c r="D59" s="89">
        <v>39</v>
      </c>
      <c r="E59" s="89" t="s">
        <v>143</v>
      </c>
      <c r="F59" s="116"/>
      <c r="G59" s="89"/>
      <c r="H59" s="112" t="s">
        <v>255</v>
      </c>
      <c r="I59" s="113">
        <v>0</v>
      </c>
      <c r="J59" s="110"/>
      <c r="K59" s="50" t="e">
        <f>NA()</f>
        <v>#N/A</v>
      </c>
      <c r="L59" s="90" t="e">
        <f t="shared" si="4"/>
        <v>#VALUE!</v>
      </c>
      <c r="M59" s="114" t="e">
        <f t="shared" si="6"/>
        <v>#VALUE!</v>
      </c>
      <c r="N59" s="115" t="s">
        <v>143</v>
      </c>
      <c r="O59" s="29"/>
      <c r="P59" s="88"/>
    </row>
    <row r="60" spans="2:17" ht="21" hidden="1">
      <c r="B60" s="100">
        <v>55</v>
      </c>
      <c r="C60" s="111" t="str">
        <f t="shared" si="5"/>
        <v>F1</v>
      </c>
      <c r="D60" s="89">
        <v>39</v>
      </c>
      <c r="E60" s="89" t="s">
        <v>149</v>
      </c>
      <c r="F60" s="116"/>
      <c r="G60" s="89"/>
      <c r="H60" s="89" t="s">
        <v>314</v>
      </c>
      <c r="I60" s="113">
        <v>0</v>
      </c>
      <c r="J60" s="110"/>
      <c r="K60" s="50" t="e">
        <f>NA()</f>
        <v>#N/A</v>
      </c>
      <c r="L60" s="90" t="e">
        <f t="shared" si="4"/>
        <v>#VALUE!</v>
      </c>
      <c r="M60" s="114" t="e">
        <f t="shared" si="6"/>
        <v>#VALUE!</v>
      </c>
      <c r="N60" s="115" t="s">
        <v>149</v>
      </c>
      <c r="O60" s="29"/>
      <c r="P60" s="88"/>
    </row>
    <row r="61" spans="2:17" ht="21" hidden="1">
      <c r="B61" s="100">
        <v>56</v>
      </c>
      <c r="C61" s="111" t="str">
        <f t="shared" si="5"/>
        <v>G1</v>
      </c>
      <c r="D61" s="89">
        <v>39</v>
      </c>
      <c r="E61" s="89" t="s">
        <v>155</v>
      </c>
      <c r="F61" s="116"/>
      <c r="G61" s="89"/>
      <c r="H61" s="112" t="s">
        <v>255</v>
      </c>
      <c r="I61" s="113">
        <v>0</v>
      </c>
      <c r="J61" s="110"/>
      <c r="K61" s="50" t="e">
        <f>NA()</f>
        <v>#N/A</v>
      </c>
      <c r="L61" s="90" t="e">
        <f t="shared" si="4"/>
        <v>#VALUE!</v>
      </c>
      <c r="M61" s="114" t="e">
        <f t="shared" si="6"/>
        <v>#VALUE!</v>
      </c>
      <c r="N61" s="115" t="s">
        <v>155</v>
      </c>
      <c r="O61" s="29"/>
      <c r="P61" s="88"/>
    </row>
    <row r="62" spans="2:17" ht="21" hidden="1">
      <c r="B62" s="100">
        <v>57</v>
      </c>
      <c r="C62" s="111" t="str">
        <f t="shared" si="5"/>
        <v>H1</v>
      </c>
      <c r="D62" s="89">
        <v>39</v>
      </c>
      <c r="E62" s="89" t="s">
        <v>161</v>
      </c>
      <c r="F62" s="116"/>
      <c r="G62" s="89"/>
      <c r="H62" s="89" t="s">
        <v>315</v>
      </c>
      <c r="I62" s="113">
        <v>0</v>
      </c>
      <c r="J62" s="20"/>
      <c r="K62" s="50" t="e">
        <f>NA()</f>
        <v>#N/A</v>
      </c>
      <c r="L62" s="90" t="e">
        <f t="shared" si="4"/>
        <v>#VALUE!</v>
      </c>
      <c r="M62" s="114" t="e">
        <f t="shared" si="6"/>
        <v>#VALUE!</v>
      </c>
      <c r="N62" s="115" t="s">
        <v>161</v>
      </c>
      <c r="O62" s="29"/>
      <c r="P62" s="88"/>
    </row>
    <row r="63" spans="2:17" ht="21" hidden="1">
      <c r="B63" s="100">
        <v>58</v>
      </c>
      <c r="C63" s="111" t="str">
        <f t="shared" si="5"/>
        <v>A2</v>
      </c>
      <c r="D63" s="89">
        <v>39</v>
      </c>
      <c r="E63" s="89" t="s">
        <v>209</v>
      </c>
      <c r="F63" s="116"/>
      <c r="G63" s="89"/>
      <c r="H63" s="112" t="s">
        <v>255</v>
      </c>
      <c r="I63" s="113">
        <v>0</v>
      </c>
      <c r="J63" s="89"/>
      <c r="K63" s="50" t="e">
        <f>NA()</f>
        <v>#N/A</v>
      </c>
      <c r="L63" s="90" t="e">
        <f t="shared" si="4"/>
        <v>#VALUE!</v>
      </c>
      <c r="M63" s="114" t="e">
        <f t="shared" si="6"/>
        <v>#VALUE!</v>
      </c>
      <c r="N63" s="115" t="s">
        <v>209</v>
      </c>
      <c r="O63" s="29"/>
      <c r="P63" s="88"/>
    </row>
    <row r="64" spans="2:17" ht="21" hidden="1">
      <c r="B64" s="100">
        <v>59</v>
      </c>
      <c r="C64" s="111" t="str">
        <f t="shared" si="5"/>
        <v>B2</v>
      </c>
      <c r="D64" s="89">
        <v>39</v>
      </c>
      <c r="E64" s="89" t="s">
        <v>203</v>
      </c>
      <c r="F64" s="116"/>
      <c r="G64" s="89"/>
      <c r="H64" s="89" t="s">
        <v>194</v>
      </c>
      <c r="I64" s="113">
        <v>0</v>
      </c>
      <c r="J64" s="89"/>
      <c r="K64" s="50" t="e">
        <f>NA()</f>
        <v>#N/A</v>
      </c>
      <c r="L64" s="90" t="e">
        <f t="shared" si="4"/>
        <v>#VALUE!</v>
      </c>
      <c r="M64" s="114" t="e">
        <f t="shared" si="6"/>
        <v>#VALUE!</v>
      </c>
      <c r="N64" s="115" t="s">
        <v>203</v>
      </c>
      <c r="O64" s="29"/>
      <c r="P64" s="88"/>
    </row>
    <row r="65" spans="2:16" ht="21" hidden="1">
      <c r="B65" s="100">
        <v>60</v>
      </c>
      <c r="C65" s="111" t="str">
        <f t="shared" si="5"/>
        <v>C2</v>
      </c>
      <c r="D65" s="89">
        <v>39</v>
      </c>
      <c r="E65" s="89" t="s">
        <v>197</v>
      </c>
      <c r="F65" s="116"/>
      <c r="G65" s="89"/>
      <c r="H65" s="112" t="s">
        <v>255</v>
      </c>
      <c r="I65" s="113">
        <v>0</v>
      </c>
      <c r="J65" s="89"/>
      <c r="K65" s="50" t="e">
        <f>NA()</f>
        <v>#N/A</v>
      </c>
      <c r="L65" s="90" t="e">
        <f t="shared" si="4"/>
        <v>#VALUE!</v>
      </c>
      <c r="M65" s="114" t="e">
        <f t="shared" si="6"/>
        <v>#VALUE!</v>
      </c>
      <c r="N65" s="115" t="s">
        <v>197</v>
      </c>
      <c r="O65" s="29"/>
      <c r="P65" s="88"/>
    </row>
    <row r="66" spans="2:16" ht="21" hidden="1">
      <c r="B66" s="100">
        <v>61</v>
      </c>
      <c r="C66" s="111" t="str">
        <f t="shared" si="5"/>
        <v>D2</v>
      </c>
      <c r="D66" s="89">
        <v>39</v>
      </c>
      <c r="E66" s="89" t="s">
        <v>191</v>
      </c>
      <c r="F66" s="116"/>
      <c r="G66" s="89"/>
      <c r="H66" s="89" t="s">
        <v>316</v>
      </c>
      <c r="I66" s="113">
        <v>0</v>
      </c>
      <c r="J66" s="89"/>
      <c r="K66" s="50" t="e">
        <f>NA()</f>
        <v>#N/A</v>
      </c>
      <c r="L66" s="90" t="e">
        <f t="shared" si="4"/>
        <v>#VALUE!</v>
      </c>
      <c r="M66" s="114" t="e">
        <f t="shared" si="6"/>
        <v>#VALUE!</v>
      </c>
      <c r="N66" s="115" t="s">
        <v>191</v>
      </c>
      <c r="O66" s="29"/>
      <c r="P66" s="88"/>
    </row>
    <row r="67" spans="2:16" ht="21" hidden="1">
      <c r="B67" s="100">
        <v>62</v>
      </c>
      <c r="C67" s="111" t="str">
        <f t="shared" si="5"/>
        <v>E2</v>
      </c>
      <c r="D67" s="89">
        <v>39</v>
      </c>
      <c r="E67" s="89" t="s">
        <v>185</v>
      </c>
      <c r="F67" s="116"/>
      <c r="G67" s="89"/>
      <c r="H67" s="112" t="s">
        <v>255</v>
      </c>
      <c r="I67" s="113">
        <v>0</v>
      </c>
      <c r="J67" s="89"/>
      <c r="K67" s="50" t="e">
        <f>NA()</f>
        <v>#N/A</v>
      </c>
      <c r="L67" s="90" t="e">
        <f t="shared" si="4"/>
        <v>#VALUE!</v>
      </c>
      <c r="M67" s="114" t="e">
        <f t="shared" si="6"/>
        <v>#VALUE!</v>
      </c>
      <c r="N67" s="115" t="s">
        <v>185</v>
      </c>
      <c r="O67" s="29"/>
      <c r="P67" s="88"/>
    </row>
    <row r="68" spans="2:16" ht="21" hidden="1">
      <c r="B68" s="100">
        <v>63</v>
      </c>
      <c r="C68" s="111" t="str">
        <f t="shared" si="5"/>
        <v>F2</v>
      </c>
      <c r="D68" s="89">
        <v>39</v>
      </c>
      <c r="E68" s="89" t="s">
        <v>179</v>
      </c>
      <c r="F68" s="116"/>
      <c r="G68" s="89"/>
      <c r="H68" s="89" t="s">
        <v>110</v>
      </c>
      <c r="I68" s="113">
        <v>0</v>
      </c>
      <c r="J68" s="89"/>
      <c r="K68" s="50" t="e">
        <f>NA()</f>
        <v>#N/A</v>
      </c>
      <c r="L68" s="90" t="e">
        <f t="shared" si="4"/>
        <v>#VALUE!</v>
      </c>
      <c r="M68" s="114" t="e">
        <f t="shared" si="6"/>
        <v>#VALUE!</v>
      </c>
      <c r="N68" s="115" t="s">
        <v>179</v>
      </c>
      <c r="O68" s="29"/>
      <c r="P68" s="88"/>
    </row>
    <row r="69" spans="2:16" ht="21" hidden="1">
      <c r="B69" s="100">
        <v>64</v>
      </c>
      <c r="C69" s="111" t="str">
        <f t="shared" si="5"/>
        <v>G2</v>
      </c>
      <c r="D69" s="89">
        <v>39</v>
      </c>
      <c r="E69" s="89" t="s">
        <v>173</v>
      </c>
      <c r="F69" s="116"/>
      <c r="G69" s="89"/>
      <c r="H69" s="112" t="s">
        <v>255</v>
      </c>
      <c r="I69" s="113">
        <v>0</v>
      </c>
      <c r="J69" s="89"/>
      <c r="K69" s="50" t="e">
        <f>NA()</f>
        <v>#N/A</v>
      </c>
      <c r="L69" s="90" t="e">
        <f t="shared" si="4"/>
        <v>#VALUE!</v>
      </c>
      <c r="M69" s="114" t="e">
        <f t="shared" si="6"/>
        <v>#VALUE!</v>
      </c>
      <c r="N69" s="115" t="s">
        <v>173</v>
      </c>
      <c r="O69" s="29"/>
      <c r="P69" s="88"/>
    </row>
    <row r="70" spans="2:16" ht="21" hidden="1">
      <c r="B70" s="100">
        <v>65</v>
      </c>
      <c r="C70" s="111" t="str">
        <f t="shared" si="5"/>
        <v>H2</v>
      </c>
      <c r="D70" s="89">
        <v>39</v>
      </c>
      <c r="E70" s="89" t="s">
        <v>167</v>
      </c>
      <c r="F70" s="116"/>
      <c r="G70" s="89"/>
      <c r="H70" s="89" t="s">
        <v>317</v>
      </c>
      <c r="I70" s="113">
        <v>0</v>
      </c>
      <c r="J70" s="89"/>
      <c r="K70" s="50" t="e">
        <f>NA()</f>
        <v>#N/A</v>
      </c>
      <c r="L70" s="90" t="e">
        <f t="shared" ref="L70:L101" si="7">H70+K70</f>
        <v>#VALUE!</v>
      </c>
      <c r="M70" s="114" t="e">
        <f t="shared" si="6"/>
        <v>#VALUE!</v>
      </c>
      <c r="N70" s="115" t="s">
        <v>167</v>
      </c>
      <c r="O70" s="29"/>
      <c r="P70" s="88"/>
    </row>
    <row r="71" spans="2:16" ht="21" hidden="1">
      <c r="B71" s="100">
        <v>66</v>
      </c>
      <c r="C71" s="111" t="str">
        <f t="shared" si="5"/>
        <v>A3</v>
      </c>
      <c r="D71" s="89">
        <v>39</v>
      </c>
      <c r="E71" s="89" t="s">
        <v>215</v>
      </c>
      <c r="F71" s="116"/>
      <c r="G71" s="89"/>
      <c r="H71" s="112" t="s">
        <v>255</v>
      </c>
      <c r="I71" s="113">
        <v>0</v>
      </c>
      <c r="J71" s="89"/>
      <c r="K71" s="50" t="e">
        <f>NA()</f>
        <v>#N/A</v>
      </c>
      <c r="L71" s="90" t="e">
        <f t="shared" si="7"/>
        <v>#VALUE!</v>
      </c>
      <c r="M71" s="114" t="e">
        <f t="shared" si="6"/>
        <v>#VALUE!</v>
      </c>
      <c r="N71" s="115" t="s">
        <v>215</v>
      </c>
      <c r="O71" s="29"/>
      <c r="P71" s="88"/>
    </row>
    <row r="72" spans="2:16" ht="21" hidden="1">
      <c r="B72" s="100">
        <v>67</v>
      </c>
      <c r="C72" s="111" t="str">
        <f t="shared" si="5"/>
        <v>B3</v>
      </c>
      <c r="D72" s="89">
        <v>39</v>
      </c>
      <c r="E72" s="89" t="s">
        <v>221</v>
      </c>
      <c r="F72" s="116"/>
      <c r="G72" s="89"/>
      <c r="H72" s="89" t="s">
        <v>318</v>
      </c>
      <c r="I72" s="113">
        <v>0</v>
      </c>
      <c r="J72" s="89"/>
      <c r="K72" s="50" t="e">
        <f>NA()</f>
        <v>#N/A</v>
      </c>
      <c r="L72" s="90" t="e">
        <f t="shared" si="7"/>
        <v>#VALUE!</v>
      </c>
      <c r="M72" s="114" t="e">
        <f t="shared" si="6"/>
        <v>#VALUE!</v>
      </c>
      <c r="N72" s="115" t="s">
        <v>221</v>
      </c>
      <c r="O72" s="29"/>
      <c r="P72" s="88"/>
    </row>
    <row r="73" spans="2:16" ht="21" hidden="1">
      <c r="B73" s="100">
        <v>68</v>
      </c>
      <c r="C73" s="111" t="str">
        <f t="shared" si="5"/>
        <v>C3</v>
      </c>
      <c r="D73" s="89">
        <v>39</v>
      </c>
      <c r="E73" s="89" t="s">
        <v>227</v>
      </c>
      <c r="F73" s="116"/>
      <c r="G73" s="89"/>
      <c r="H73" s="112" t="s">
        <v>255</v>
      </c>
      <c r="I73" s="113">
        <v>0</v>
      </c>
      <c r="J73" s="89"/>
      <c r="K73" s="50" t="e">
        <f>NA()</f>
        <v>#N/A</v>
      </c>
      <c r="L73" s="90" t="e">
        <f t="shared" si="7"/>
        <v>#VALUE!</v>
      </c>
      <c r="M73" s="114" t="e">
        <f t="shared" si="6"/>
        <v>#VALUE!</v>
      </c>
      <c r="N73" s="115" t="s">
        <v>227</v>
      </c>
      <c r="O73" s="29"/>
      <c r="P73" s="88"/>
    </row>
    <row r="74" spans="2:16" ht="21" hidden="1">
      <c r="B74" s="100">
        <v>69</v>
      </c>
      <c r="C74" s="111" t="str">
        <f t="shared" si="5"/>
        <v>D3</v>
      </c>
      <c r="D74" s="89">
        <v>39</v>
      </c>
      <c r="E74" s="89" t="s">
        <v>233</v>
      </c>
      <c r="F74" s="116"/>
      <c r="G74" s="89"/>
      <c r="H74" s="89" t="s">
        <v>319</v>
      </c>
      <c r="I74" s="113">
        <v>0</v>
      </c>
      <c r="J74" s="89"/>
      <c r="K74" s="50" t="e">
        <f>NA()</f>
        <v>#N/A</v>
      </c>
      <c r="L74" s="90" t="e">
        <f t="shared" si="7"/>
        <v>#VALUE!</v>
      </c>
      <c r="M74" s="114" t="e">
        <f t="shared" si="6"/>
        <v>#VALUE!</v>
      </c>
      <c r="N74" s="115" t="s">
        <v>233</v>
      </c>
      <c r="O74" s="29"/>
      <c r="P74" s="88"/>
    </row>
    <row r="75" spans="2:16" ht="21" hidden="1">
      <c r="B75" s="100">
        <v>70</v>
      </c>
      <c r="C75" s="111" t="str">
        <f t="shared" si="5"/>
        <v>E3</v>
      </c>
      <c r="D75" s="89">
        <v>39</v>
      </c>
      <c r="E75" s="89" t="s">
        <v>239</v>
      </c>
      <c r="F75" s="116"/>
      <c r="G75" s="89"/>
      <c r="H75" s="112" t="s">
        <v>255</v>
      </c>
      <c r="I75" s="113">
        <v>0</v>
      </c>
      <c r="J75" s="89"/>
      <c r="K75" s="50" t="e">
        <f>NA()</f>
        <v>#N/A</v>
      </c>
      <c r="L75" s="90" t="e">
        <f t="shared" si="7"/>
        <v>#VALUE!</v>
      </c>
      <c r="M75" s="114" t="e">
        <f t="shared" si="6"/>
        <v>#VALUE!</v>
      </c>
      <c r="N75" s="115" t="s">
        <v>239</v>
      </c>
      <c r="O75" s="29"/>
      <c r="P75" s="88"/>
    </row>
    <row r="76" spans="2:16" ht="21" hidden="1">
      <c r="B76" s="100">
        <v>71</v>
      </c>
      <c r="C76" s="111" t="str">
        <f t="shared" si="5"/>
        <v>F3</v>
      </c>
      <c r="D76" s="89">
        <v>39</v>
      </c>
      <c r="E76" s="89" t="s">
        <v>244</v>
      </c>
      <c r="F76" s="116"/>
      <c r="G76" s="89"/>
      <c r="H76" s="89" t="s">
        <v>320</v>
      </c>
      <c r="I76" s="113">
        <v>0</v>
      </c>
      <c r="J76" s="89"/>
      <c r="K76" s="50" t="e">
        <f>NA()</f>
        <v>#N/A</v>
      </c>
      <c r="L76" s="90" t="e">
        <f t="shared" si="7"/>
        <v>#VALUE!</v>
      </c>
      <c r="M76" s="114" t="e">
        <f t="shared" si="6"/>
        <v>#VALUE!</v>
      </c>
      <c r="N76" s="115" t="s">
        <v>244</v>
      </c>
      <c r="O76" s="29"/>
      <c r="P76" s="88"/>
    </row>
    <row r="77" spans="2:16" ht="21" hidden="1">
      <c r="B77" s="100">
        <v>72</v>
      </c>
      <c r="C77" s="111" t="str">
        <f t="shared" si="5"/>
        <v>G3</v>
      </c>
      <c r="D77" s="89">
        <v>39</v>
      </c>
      <c r="E77" s="89" t="s">
        <v>250</v>
      </c>
      <c r="F77" s="116"/>
      <c r="G77" s="89"/>
      <c r="H77" s="112" t="s">
        <v>255</v>
      </c>
      <c r="I77" s="113">
        <v>0</v>
      </c>
      <c r="J77" s="89"/>
      <c r="K77" s="50" t="e">
        <f>NA()</f>
        <v>#N/A</v>
      </c>
      <c r="L77" s="90" t="e">
        <f t="shared" si="7"/>
        <v>#VALUE!</v>
      </c>
      <c r="M77" s="114" t="e">
        <f t="shared" si="6"/>
        <v>#VALUE!</v>
      </c>
      <c r="N77" s="115" t="s">
        <v>250</v>
      </c>
      <c r="O77" s="29"/>
      <c r="P77" s="88"/>
    </row>
    <row r="78" spans="2:16" ht="21" hidden="1">
      <c r="B78" s="100">
        <v>73</v>
      </c>
      <c r="C78" s="111" t="str">
        <f t="shared" si="5"/>
        <v>H3</v>
      </c>
      <c r="D78" s="89">
        <v>39</v>
      </c>
      <c r="E78" s="89" t="s">
        <v>256</v>
      </c>
      <c r="F78" s="116"/>
      <c r="G78" s="89"/>
      <c r="H78" s="89" t="s">
        <v>321</v>
      </c>
      <c r="I78" s="113">
        <v>0</v>
      </c>
      <c r="J78" s="89"/>
      <c r="K78" s="50" t="e">
        <f>NA()</f>
        <v>#N/A</v>
      </c>
      <c r="L78" s="90" t="e">
        <f t="shared" si="7"/>
        <v>#VALUE!</v>
      </c>
      <c r="M78" s="114" t="e">
        <f t="shared" si="6"/>
        <v>#VALUE!</v>
      </c>
      <c r="N78" s="115" t="s">
        <v>256</v>
      </c>
      <c r="O78" s="29"/>
      <c r="P78" s="88"/>
    </row>
    <row r="79" spans="2:16" ht="21" hidden="1">
      <c r="B79" s="100">
        <v>74</v>
      </c>
      <c r="C79" s="111" t="str">
        <f t="shared" si="5"/>
        <v>A4</v>
      </c>
      <c r="D79" s="89">
        <v>39</v>
      </c>
      <c r="E79" s="115" t="s">
        <v>322</v>
      </c>
      <c r="F79" s="116"/>
      <c r="G79" s="89"/>
      <c r="H79" s="112" t="s">
        <v>255</v>
      </c>
      <c r="I79" s="113">
        <v>0</v>
      </c>
      <c r="J79" s="89"/>
      <c r="K79" s="50" t="e">
        <f>NA()</f>
        <v>#N/A</v>
      </c>
      <c r="L79" s="90" t="e">
        <f t="shared" si="7"/>
        <v>#VALUE!</v>
      </c>
      <c r="M79" s="114" t="e">
        <f t="shared" si="6"/>
        <v>#VALUE!</v>
      </c>
      <c r="N79" s="115" t="s">
        <v>323</v>
      </c>
      <c r="O79" s="29"/>
      <c r="P79" s="88"/>
    </row>
    <row r="80" spans="2:16" ht="21" hidden="1">
      <c r="B80" s="100">
        <v>75</v>
      </c>
      <c r="C80" s="111" t="str">
        <f t="shared" si="5"/>
        <v>B4</v>
      </c>
      <c r="D80" s="89">
        <v>39</v>
      </c>
      <c r="E80" s="115" t="s">
        <v>322</v>
      </c>
      <c r="F80" s="116"/>
      <c r="G80" s="89"/>
      <c r="H80" s="89" t="s">
        <v>324</v>
      </c>
      <c r="I80" s="113">
        <v>0</v>
      </c>
      <c r="J80" s="89"/>
      <c r="K80" s="50" t="e">
        <f>NA()</f>
        <v>#N/A</v>
      </c>
      <c r="L80" s="90" t="e">
        <f t="shared" si="7"/>
        <v>#VALUE!</v>
      </c>
      <c r="M80" s="114" t="e">
        <f t="shared" si="6"/>
        <v>#VALUE!</v>
      </c>
      <c r="N80" s="115" t="s">
        <v>325</v>
      </c>
      <c r="O80" s="29"/>
      <c r="P80" s="88"/>
    </row>
    <row r="81" spans="2:16" ht="21" hidden="1">
      <c r="B81" s="100">
        <v>76</v>
      </c>
      <c r="C81" s="111" t="str">
        <f t="shared" si="5"/>
        <v>C4</v>
      </c>
      <c r="D81" s="89">
        <v>39</v>
      </c>
      <c r="E81" s="115" t="s">
        <v>322</v>
      </c>
      <c r="F81" s="116"/>
      <c r="G81" s="89"/>
      <c r="H81" s="112" t="s">
        <v>255</v>
      </c>
      <c r="I81" s="113">
        <v>0</v>
      </c>
      <c r="J81" s="89"/>
      <c r="K81" s="50" t="e">
        <f>NA()</f>
        <v>#N/A</v>
      </c>
      <c r="L81" s="90" t="e">
        <f t="shared" si="7"/>
        <v>#VALUE!</v>
      </c>
      <c r="M81" s="114" t="e">
        <f t="shared" si="6"/>
        <v>#VALUE!</v>
      </c>
      <c r="N81" s="115" t="s">
        <v>326</v>
      </c>
      <c r="O81" s="29"/>
      <c r="P81" s="88"/>
    </row>
    <row r="82" spans="2:16" ht="21" hidden="1">
      <c r="B82" s="100">
        <v>77</v>
      </c>
      <c r="C82" s="111" t="str">
        <f t="shared" si="5"/>
        <v>D4</v>
      </c>
      <c r="D82" s="89">
        <v>39</v>
      </c>
      <c r="E82" s="115" t="s">
        <v>322</v>
      </c>
      <c r="F82" s="116"/>
      <c r="G82" s="89"/>
      <c r="H82" s="89" t="s">
        <v>327</v>
      </c>
      <c r="I82" s="113">
        <v>0</v>
      </c>
      <c r="J82" s="89"/>
      <c r="K82" s="50" t="e">
        <f>NA()</f>
        <v>#N/A</v>
      </c>
      <c r="L82" s="90" t="e">
        <f t="shared" si="7"/>
        <v>#VALUE!</v>
      </c>
      <c r="M82" s="114" t="e">
        <f t="shared" si="6"/>
        <v>#VALUE!</v>
      </c>
      <c r="N82" s="115" t="s">
        <v>328</v>
      </c>
      <c r="O82" s="29"/>
      <c r="P82" s="88"/>
    </row>
    <row r="83" spans="2:16" ht="21" hidden="1">
      <c r="B83" s="100">
        <v>78</v>
      </c>
      <c r="C83" s="111" t="str">
        <f t="shared" si="5"/>
        <v>E4</v>
      </c>
      <c r="D83" s="89">
        <v>39</v>
      </c>
      <c r="E83" s="115" t="s">
        <v>304</v>
      </c>
      <c r="F83" s="116"/>
      <c r="G83" s="89"/>
      <c r="H83" s="112" t="s">
        <v>255</v>
      </c>
      <c r="I83" s="113">
        <v>0</v>
      </c>
      <c r="J83" s="89"/>
      <c r="K83" s="50" t="e">
        <f>NA()</f>
        <v>#N/A</v>
      </c>
      <c r="L83" s="90" t="e">
        <f t="shared" si="7"/>
        <v>#VALUE!</v>
      </c>
      <c r="M83" s="114" t="e">
        <f t="shared" si="6"/>
        <v>#VALUE!</v>
      </c>
      <c r="N83" s="115" t="s">
        <v>304</v>
      </c>
      <c r="O83" s="29"/>
      <c r="P83" s="88"/>
    </row>
    <row r="84" spans="2:16" ht="21" hidden="1">
      <c r="B84" s="100">
        <v>79</v>
      </c>
      <c r="C84" s="111" t="str">
        <f t="shared" si="5"/>
        <v>F4</v>
      </c>
      <c r="D84" s="89">
        <v>39</v>
      </c>
      <c r="E84" s="115" t="s">
        <v>269</v>
      </c>
      <c r="F84" s="116"/>
      <c r="G84" s="89"/>
      <c r="H84" s="89" t="s">
        <v>329</v>
      </c>
      <c r="I84" s="113">
        <v>0</v>
      </c>
      <c r="J84" s="89"/>
      <c r="K84" s="50" t="e">
        <f>NA()</f>
        <v>#N/A</v>
      </c>
      <c r="L84" s="90" t="e">
        <f t="shared" si="7"/>
        <v>#VALUE!</v>
      </c>
      <c r="M84" s="114" t="e">
        <f t="shared" si="6"/>
        <v>#VALUE!</v>
      </c>
      <c r="N84" s="115" t="s">
        <v>269</v>
      </c>
      <c r="O84" s="29"/>
      <c r="P84" s="88"/>
    </row>
    <row r="85" spans="2:16" ht="21" hidden="1">
      <c r="B85" s="100">
        <v>80</v>
      </c>
      <c r="C85" s="111" t="str">
        <f t="shared" si="5"/>
        <v>G4</v>
      </c>
      <c r="D85" s="89">
        <v>39</v>
      </c>
      <c r="E85" s="115" t="s">
        <v>286</v>
      </c>
      <c r="F85" s="116"/>
      <c r="G85" s="89"/>
      <c r="H85" s="112" t="s">
        <v>255</v>
      </c>
      <c r="I85" s="113">
        <v>0</v>
      </c>
      <c r="J85" s="89"/>
      <c r="K85" s="50" t="e">
        <f>NA()</f>
        <v>#N/A</v>
      </c>
      <c r="L85" s="90" t="e">
        <f t="shared" si="7"/>
        <v>#VALUE!</v>
      </c>
      <c r="M85" s="114" t="e">
        <f t="shared" si="6"/>
        <v>#VALUE!</v>
      </c>
      <c r="N85" s="115" t="s">
        <v>286</v>
      </c>
      <c r="O85" s="29"/>
      <c r="P85" s="88"/>
    </row>
    <row r="86" spans="2:16" ht="21" hidden="1">
      <c r="B86" s="100">
        <v>81</v>
      </c>
      <c r="C86" s="111" t="str">
        <f t="shared" si="5"/>
        <v>H4</v>
      </c>
      <c r="D86" s="89">
        <v>39</v>
      </c>
      <c r="E86" s="115" t="s">
        <v>262</v>
      </c>
      <c r="F86" s="116"/>
      <c r="G86" s="89"/>
      <c r="H86" s="89" t="s">
        <v>330</v>
      </c>
      <c r="I86" s="113">
        <v>0</v>
      </c>
      <c r="J86" s="89"/>
      <c r="K86" s="50" t="e">
        <f>NA()</f>
        <v>#N/A</v>
      </c>
      <c r="L86" s="90" t="e">
        <f t="shared" si="7"/>
        <v>#VALUE!</v>
      </c>
      <c r="M86" s="114" t="e">
        <f t="shared" si="6"/>
        <v>#VALUE!</v>
      </c>
      <c r="N86" s="115" t="s">
        <v>262</v>
      </c>
      <c r="O86" s="29"/>
      <c r="P86" s="88"/>
    </row>
    <row r="87" spans="2:16" ht="21" hidden="1">
      <c r="B87" s="100">
        <v>82</v>
      </c>
      <c r="C87" s="111" t="str">
        <f t="shared" si="5"/>
        <v>AA1</v>
      </c>
      <c r="D87" s="89">
        <v>39</v>
      </c>
      <c r="E87" s="115" t="s">
        <v>71</v>
      </c>
      <c r="F87" s="116"/>
      <c r="G87" s="89"/>
      <c r="H87" s="112" t="s">
        <v>255</v>
      </c>
      <c r="I87" s="113">
        <v>0</v>
      </c>
      <c r="J87" s="89"/>
      <c r="K87" s="50" t="e">
        <f>NA()</f>
        <v>#N/A</v>
      </c>
      <c r="L87" s="90" t="e">
        <f t="shared" si="7"/>
        <v>#VALUE!</v>
      </c>
      <c r="M87" s="114" t="e">
        <f t="shared" si="6"/>
        <v>#VALUE!</v>
      </c>
      <c r="N87" s="115" t="s">
        <v>71</v>
      </c>
      <c r="O87" s="29"/>
      <c r="P87" s="88"/>
    </row>
    <row r="88" spans="2:16" ht="21" hidden="1">
      <c r="B88" s="100">
        <v>83</v>
      </c>
      <c r="C88" s="111" t="str">
        <f t="shared" si="5"/>
        <v>AA2</v>
      </c>
      <c r="D88" s="89">
        <v>39</v>
      </c>
      <c r="E88" s="115" t="s">
        <v>77</v>
      </c>
      <c r="F88" s="116"/>
      <c r="G88" s="89"/>
      <c r="H88" s="89" t="s">
        <v>331</v>
      </c>
      <c r="I88" s="113">
        <v>0</v>
      </c>
      <c r="J88" s="89"/>
      <c r="K88" s="50" t="e">
        <f>NA()</f>
        <v>#N/A</v>
      </c>
      <c r="L88" s="90" t="e">
        <f t="shared" si="7"/>
        <v>#VALUE!</v>
      </c>
      <c r="M88" s="114" t="e">
        <f t="shared" si="6"/>
        <v>#VALUE!</v>
      </c>
      <c r="N88" s="115" t="s">
        <v>77</v>
      </c>
      <c r="O88" s="29"/>
      <c r="P88" s="88"/>
    </row>
    <row r="89" spans="2:16" ht="21" hidden="1">
      <c r="B89" s="100">
        <v>84</v>
      </c>
      <c r="C89" s="111" t="str">
        <f t="shared" si="5"/>
        <v>AA3</v>
      </c>
      <c r="D89" s="89">
        <v>39</v>
      </c>
      <c r="E89" s="115" t="s">
        <v>83</v>
      </c>
      <c r="F89" s="116"/>
      <c r="G89" s="89"/>
      <c r="H89" s="112" t="s">
        <v>255</v>
      </c>
      <c r="I89" s="113">
        <v>0</v>
      </c>
      <c r="J89" s="89"/>
      <c r="K89" s="50" t="e">
        <f>NA()</f>
        <v>#N/A</v>
      </c>
      <c r="L89" s="90" t="e">
        <f t="shared" si="7"/>
        <v>#VALUE!</v>
      </c>
      <c r="M89" s="114" t="e">
        <f t="shared" si="6"/>
        <v>#VALUE!</v>
      </c>
      <c r="N89" s="115" t="s">
        <v>83</v>
      </c>
      <c r="O89" s="29"/>
      <c r="P89" s="88"/>
    </row>
    <row r="90" spans="2:16" ht="21" hidden="1">
      <c r="B90" s="100">
        <v>85</v>
      </c>
      <c r="C90" s="111" t="str">
        <f t="shared" si="5"/>
        <v>AA4</v>
      </c>
      <c r="D90" s="89">
        <v>39</v>
      </c>
      <c r="E90" s="115" t="s">
        <v>89</v>
      </c>
      <c r="F90" s="116"/>
      <c r="G90" s="89"/>
      <c r="H90" s="89" t="s">
        <v>332</v>
      </c>
      <c r="I90" s="113">
        <v>0</v>
      </c>
      <c r="J90" s="89"/>
      <c r="K90" s="50" t="e">
        <f>NA()</f>
        <v>#N/A</v>
      </c>
      <c r="L90" s="90" t="e">
        <f t="shared" si="7"/>
        <v>#VALUE!</v>
      </c>
      <c r="M90" s="114" t="e">
        <f t="shared" si="6"/>
        <v>#VALUE!</v>
      </c>
      <c r="N90" s="115" t="s">
        <v>89</v>
      </c>
      <c r="O90" s="29"/>
      <c r="P90" s="88"/>
    </row>
    <row r="91" spans="2:16" ht="21" hidden="1">
      <c r="B91" s="100">
        <v>86</v>
      </c>
      <c r="C91" s="111" t="str">
        <f t="shared" si="5"/>
        <v>AB1</v>
      </c>
      <c r="D91" s="89">
        <v>39</v>
      </c>
      <c r="E91" s="115" t="s">
        <v>333</v>
      </c>
      <c r="F91" s="116"/>
      <c r="G91" s="89"/>
      <c r="H91" s="112" t="s">
        <v>255</v>
      </c>
      <c r="I91" s="113">
        <v>0</v>
      </c>
      <c r="J91" s="89"/>
      <c r="K91" s="50" t="e">
        <f>NA()</f>
        <v>#N/A</v>
      </c>
      <c r="L91" s="90" t="e">
        <f t="shared" si="7"/>
        <v>#VALUE!</v>
      </c>
      <c r="M91" s="114" t="e">
        <f t="shared" si="6"/>
        <v>#VALUE!</v>
      </c>
      <c r="N91" s="115" t="s">
        <v>333</v>
      </c>
      <c r="O91" s="29"/>
      <c r="P91" s="88"/>
    </row>
    <row r="92" spans="2:16" ht="21" hidden="1">
      <c r="B92" s="100">
        <v>87</v>
      </c>
      <c r="C92" s="111" t="str">
        <f t="shared" si="5"/>
        <v>AB2</v>
      </c>
      <c r="D92" s="89">
        <v>39</v>
      </c>
      <c r="E92" s="115" t="s">
        <v>334</v>
      </c>
      <c r="F92" s="116"/>
      <c r="G92" s="89"/>
      <c r="H92" s="89" t="s">
        <v>335</v>
      </c>
      <c r="I92" s="113">
        <v>0</v>
      </c>
      <c r="J92" s="89"/>
      <c r="K92" s="50" t="e">
        <f>NA()</f>
        <v>#N/A</v>
      </c>
      <c r="L92" s="90" t="e">
        <f t="shared" si="7"/>
        <v>#VALUE!</v>
      </c>
      <c r="M92" s="114" t="e">
        <f t="shared" si="6"/>
        <v>#VALUE!</v>
      </c>
      <c r="N92" s="115" t="s">
        <v>334</v>
      </c>
      <c r="O92" s="29"/>
      <c r="P92" s="88"/>
    </row>
    <row r="93" spans="2:16" ht="21" hidden="1">
      <c r="B93" s="100">
        <v>88</v>
      </c>
      <c r="C93" s="111" t="str">
        <f t="shared" si="5"/>
        <v>AB3</v>
      </c>
      <c r="D93" s="89">
        <v>39</v>
      </c>
      <c r="E93" s="115" t="s">
        <v>336</v>
      </c>
      <c r="F93" s="116"/>
      <c r="G93" s="89"/>
      <c r="H93" s="112" t="s">
        <v>255</v>
      </c>
      <c r="I93" s="113">
        <v>0</v>
      </c>
      <c r="J93" s="89"/>
      <c r="K93" s="50" t="e">
        <f>NA()</f>
        <v>#N/A</v>
      </c>
      <c r="L93" s="90" t="e">
        <f t="shared" si="7"/>
        <v>#VALUE!</v>
      </c>
      <c r="M93" s="114" t="e">
        <f t="shared" si="6"/>
        <v>#VALUE!</v>
      </c>
      <c r="N93" s="115" t="s">
        <v>336</v>
      </c>
      <c r="O93" s="29"/>
      <c r="P93" s="88"/>
    </row>
    <row r="94" spans="2:16" ht="21" hidden="1">
      <c r="B94" s="100">
        <v>89</v>
      </c>
      <c r="C94" s="111" t="str">
        <f t="shared" si="5"/>
        <v>AB4</v>
      </c>
      <c r="D94" s="89">
        <v>39</v>
      </c>
      <c r="E94" s="115" t="s">
        <v>337</v>
      </c>
      <c r="F94" s="116"/>
      <c r="G94" s="89"/>
      <c r="H94" s="89" t="s">
        <v>338</v>
      </c>
      <c r="I94" s="113">
        <v>0</v>
      </c>
      <c r="J94" s="89"/>
      <c r="K94" s="50" t="e">
        <f>NA()</f>
        <v>#N/A</v>
      </c>
      <c r="L94" s="90" t="e">
        <f t="shared" si="7"/>
        <v>#VALUE!</v>
      </c>
      <c r="M94" s="114" t="e">
        <f t="shared" si="6"/>
        <v>#VALUE!</v>
      </c>
      <c r="N94" s="115" t="s">
        <v>337</v>
      </c>
      <c r="O94" s="29"/>
      <c r="P94" s="88"/>
    </row>
    <row r="95" spans="2:16" ht="21" hidden="1">
      <c r="B95" s="100">
        <v>90</v>
      </c>
      <c r="C95" s="111" t="str">
        <f t="shared" si="5"/>
        <v>P3</v>
      </c>
      <c r="D95" s="89">
        <v>39</v>
      </c>
      <c r="E95" s="115" t="s">
        <v>322</v>
      </c>
      <c r="F95" s="116"/>
      <c r="G95" s="89"/>
      <c r="H95" s="112" t="s">
        <v>255</v>
      </c>
      <c r="I95" s="113">
        <v>0</v>
      </c>
      <c r="J95" s="89"/>
      <c r="K95" s="50" t="e">
        <f>NA()</f>
        <v>#N/A</v>
      </c>
      <c r="L95" s="90" t="e">
        <f t="shared" si="7"/>
        <v>#VALUE!</v>
      </c>
      <c r="M95" s="114" t="e">
        <f t="shared" si="6"/>
        <v>#VALUE!</v>
      </c>
      <c r="N95" s="115" t="s">
        <v>339</v>
      </c>
      <c r="O95" s="29"/>
      <c r="P95" s="88"/>
    </row>
    <row r="96" spans="2:16" ht="21" hidden="1">
      <c r="B96" s="100">
        <v>91</v>
      </c>
      <c r="C96" s="111" t="str">
        <f t="shared" si="5"/>
        <v>O3</v>
      </c>
      <c r="D96" s="89">
        <v>39</v>
      </c>
      <c r="E96" s="115" t="s">
        <v>322</v>
      </c>
      <c r="F96" s="116"/>
      <c r="G96" s="89"/>
      <c r="H96" s="89" t="s">
        <v>340</v>
      </c>
      <c r="I96" s="113">
        <v>0</v>
      </c>
      <c r="J96" s="89"/>
      <c r="K96" s="50" t="e">
        <f>NA()</f>
        <v>#N/A</v>
      </c>
      <c r="L96" s="90" t="e">
        <f t="shared" si="7"/>
        <v>#VALUE!</v>
      </c>
      <c r="M96" s="114" t="e">
        <f t="shared" si="6"/>
        <v>#VALUE!</v>
      </c>
      <c r="N96" s="115" t="s">
        <v>341</v>
      </c>
      <c r="O96" s="29"/>
      <c r="P96" s="88"/>
    </row>
    <row r="97" spans="2:16" ht="21" hidden="1">
      <c r="B97" s="100">
        <v>92</v>
      </c>
      <c r="C97" s="111" t="str">
        <f t="shared" si="5"/>
        <v>N3</v>
      </c>
      <c r="D97" s="89">
        <v>39</v>
      </c>
      <c r="E97" s="115" t="s">
        <v>322</v>
      </c>
      <c r="F97" s="116"/>
      <c r="G97" s="89"/>
      <c r="H97" s="112" t="s">
        <v>255</v>
      </c>
      <c r="I97" s="113">
        <v>0</v>
      </c>
      <c r="J97" s="89"/>
      <c r="K97" s="50" t="e">
        <f>NA()</f>
        <v>#N/A</v>
      </c>
      <c r="L97" s="90" t="e">
        <f t="shared" si="7"/>
        <v>#VALUE!</v>
      </c>
      <c r="M97" s="114" t="e">
        <f t="shared" si="6"/>
        <v>#VALUE!</v>
      </c>
      <c r="N97" s="115" t="s">
        <v>342</v>
      </c>
      <c r="O97" s="29"/>
      <c r="P97" s="88"/>
    </row>
    <row r="98" spans="2:16" ht="21" hidden="1">
      <c r="B98" s="100">
        <v>93</v>
      </c>
      <c r="C98" s="111" t="str">
        <f t="shared" si="5"/>
        <v>M3</v>
      </c>
      <c r="D98" s="89">
        <v>39</v>
      </c>
      <c r="E98" s="115" t="s">
        <v>322</v>
      </c>
      <c r="F98" s="116"/>
      <c r="G98" s="89"/>
      <c r="H98" s="89" t="s">
        <v>343</v>
      </c>
      <c r="I98" s="113">
        <v>0</v>
      </c>
      <c r="J98" s="89"/>
      <c r="K98" s="50" t="e">
        <f>NA()</f>
        <v>#N/A</v>
      </c>
      <c r="L98" s="90" t="e">
        <f t="shared" si="7"/>
        <v>#VALUE!</v>
      </c>
      <c r="M98" s="114" t="e">
        <f t="shared" si="6"/>
        <v>#VALUE!</v>
      </c>
      <c r="N98" s="115" t="s">
        <v>344</v>
      </c>
      <c r="O98" s="29"/>
      <c r="P98" s="88"/>
    </row>
    <row r="99" spans="2:16" ht="21" hidden="1">
      <c r="B99" s="100">
        <v>94</v>
      </c>
      <c r="C99" s="111" t="str">
        <f t="shared" si="5"/>
        <v>L3</v>
      </c>
      <c r="D99" s="89">
        <v>39</v>
      </c>
      <c r="E99" s="115" t="s">
        <v>322</v>
      </c>
      <c r="F99" s="116"/>
      <c r="G99" s="89"/>
      <c r="H99" s="112" t="s">
        <v>255</v>
      </c>
      <c r="I99" s="113">
        <v>0</v>
      </c>
      <c r="J99" s="89"/>
      <c r="K99" s="50" t="e">
        <f>NA()</f>
        <v>#N/A</v>
      </c>
      <c r="L99" s="90" t="e">
        <f t="shared" si="7"/>
        <v>#VALUE!</v>
      </c>
      <c r="M99" s="114" t="e">
        <f t="shared" si="6"/>
        <v>#VALUE!</v>
      </c>
      <c r="N99" s="115" t="s">
        <v>345</v>
      </c>
      <c r="O99" s="29"/>
      <c r="P99" s="88"/>
    </row>
    <row r="100" spans="2:16" ht="21" hidden="1">
      <c r="B100" s="100">
        <v>95</v>
      </c>
      <c r="C100" s="111" t="str">
        <f t="shared" si="5"/>
        <v>K3</v>
      </c>
      <c r="D100" s="89">
        <v>39</v>
      </c>
      <c r="E100" s="115" t="s">
        <v>322</v>
      </c>
      <c r="F100" s="116"/>
      <c r="G100" s="89"/>
      <c r="H100" s="89" t="s">
        <v>346</v>
      </c>
      <c r="I100" s="113">
        <v>0</v>
      </c>
      <c r="J100" s="89"/>
      <c r="K100" s="50" t="e">
        <f>NA()</f>
        <v>#N/A</v>
      </c>
      <c r="L100" s="90" t="e">
        <f t="shared" si="7"/>
        <v>#VALUE!</v>
      </c>
      <c r="M100" s="114" t="e">
        <f t="shared" si="6"/>
        <v>#VALUE!</v>
      </c>
      <c r="N100" s="115" t="s">
        <v>347</v>
      </c>
      <c r="O100" s="29"/>
      <c r="P100" s="88"/>
    </row>
    <row r="101" spans="2:16" ht="21" hidden="1">
      <c r="B101" s="20"/>
      <c r="C101" s="117" t="str">
        <f t="shared" si="5"/>
        <v>J3</v>
      </c>
      <c r="D101" s="20"/>
      <c r="E101" s="118" t="s">
        <v>322</v>
      </c>
      <c r="F101" s="20"/>
      <c r="G101" s="20"/>
      <c r="H101" s="20"/>
      <c r="I101" s="20"/>
      <c r="J101" s="20"/>
      <c r="K101" s="20"/>
      <c r="L101" s="90">
        <f t="shared" si="7"/>
        <v>0</v>
      </c>
      <c r="M101" s="117"/>
      <c r="N101" s="118" t="s">
        <v>348</v>
      </c>
      <c r="O101" s="20"/>
    </row>
    <row r="102" spans="2:16" ht="21" hidden="1">
      <c r="B102" s="119">
        <v>88</v>
      </c>
      <c r="C102" s="111" t="str">
        <f t="shared" si="5"/>
        <v>I3</v>
      </c>
      <c r="D102" s="89">
        <v>40</v>
      </c>
      <c r="E102" s="115" t="s">
        <v>349</v>
      </c>
      <c r="F102" s="116"/>
      <c r="G102" s="89"/>
      <c r="H102" s="89" t="s">
        <v>350</v>
      </c>
      <c r="I102" s="113">
        <v>1</v>
      </c>
      <c r="J102" s="89"/>
      <c r="K102" s="112" t="s">
        <v>255</v>
      </c>
      <c r="L102" s="90" t="e">
        <f t="shared" ref="L102" si="8">H102+K102</f>
        <v>#VALUE!</v>
      </c>
      <c r="M102" s="114" t="e">
        <f>I102+L102</f>
        <v>#VALUE!</v>
      </c>
      <c r="N102" s="115" t="s">
        <v>349</v>
      </c>
      <c r="O102" s="29"/>
      <c r="P102" s="88"/>
    </row>
    <row r="103" spans="2:16">
      <c r="B103" s="120"/>
    </row>
    <row r="105" spans="2:16">
      <c r="C105" s="1" t="s">
        <v>323</v>
      </c>
      <c r="E105" s="1" t="s">
        <v>277</v>
      </c>
      <c r="F105" s="93" t="s">
        <v>274</v>
      </c>
      <c r="H105" s="1" t="s">
        <v>351</v>
      </c>
      <c r="I105" s="87" t="s">
        <v>305</v>
      </c>
      <c r="L105" t="s">
        <v>352</v>
      </c>
    </row>
    <row r="106" spans="2:16">
      <c r="C106" s="1" t="s">
        <v>325</v>
      </c>
      <c r="E106" s="1" t="s">
        <v>281</v>
      </c>
      <c r="F106" s="87" t="s">
        <v>278</v>
      </c>
      <c r="H106" s="1" t="s">
        <v>351</v>
      </c>
      <c r="I106" s="87" t="s">
        <v>290</v>
      </c>
      <c r="L106" t="s">
        <v>353</v>
      </c>
    </row>
    <row r="107" spans="2:16">
      <c r="C107" s="1" t="s">
        <v>326</v>
      </c>
      <c r="E107" s="1" t="s">
        <v>300</v>
      </c>
      <c r="F107" s="87" t="s">
        <v>354</v>
      </c>
      <c r="H107" s="1" t="s">
        <v>351</v>
      </c>
      <c r="I107" s="87" t="s">
        <v>309</v>
      </c>
      <c r="L107" t="s">
        <v>355</v>
      </c>
    </row>
    <row r="108" spans="2:16">
      <c r="C108" s="1" t="s">
        <v>328</v>
      </c>
      <c r="E108" s="1" t="s">
        <v>273</v>
      </c>
      <c r="F108" s="88" t="s">
        <v>270</v>
      </c>
      <c r="H108" s="1" t="s">
        <v>351</v>
      </c>
      <c r="I108" s="93" t="s">
        <v>287</v>
      </c>
      <c r="L108" t="s">
        <v>356</v>
      </c>
    </row>
  </sheetData>
  <phoneticPr fontId="118" type="noConversion"/>
  <printOptions horizontalCentered="1"/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47"/>
  <sheetViews>
    <sheetView topLeftCell="A7" zoomScale="80" zoomScaleNormal="80" workbookViewId="0">
      <selection activeCell="B32" activeCellId="3" sqref="B22 B25 B29 B32"/>
    </sheetView>
  </sheetViews>
  <sheetFormatPr defaultRowHeight="17.25"/>
  <cols>
    <col min="1" max="1" width="6.21875" style="121" customWidth="1"/>
    <col min="2" max="2" width="15.44140625" style="121" customWidth="1"/>
    <col min="3" max="3" width="15.6640625" style="121" customWidth="1"/>
    <col min="4" max="4" width="13.6640625" style="121" customWidth="1"/>
    <col min="5" max="5" width="19.5546875" style="121" customWidth="1"/>
    <col min="6" max="7" width="13.6640625" style="121" customWidth="1"/>
    <col min="8" max="10" width="10.6640625" style="121" customWidth="1"/>
    <col min="11" max="1025" width="7.6640625" style="121" customWidth="1"/>
  </cols>
  <sheetData>
    <row r="1" spans="2:5">
      <c r="B1" s="122" t="s">
        <v>357</v>
      </c>
      <c r="C1" s="123"/>
      <c r="D1" s="123"/>
      <c r="E1" s="124"/>
    </row>
    <row r="2" spans="2:5">
      <c r="B2" s="122"/>
      <c r="C2" s="123"/>
      <c r="D2" s="123"/>
      <c r="E2" s="124"/>
    </row>
    <row r="3" spans="2:5">
      <c r="B3" s="122" t="s">
        <v>358</v>
      </c>
      <c r="C3" s="123"/>
      <c r="D3" s="123"/>
      <c r="E3" s="124"/>
    </row>
    <row r="4" spans="2:5">
      <c r="B4" s="122" t="s">
        <v>359</v>
      </c>
      <c r="C4" s="123"/>
      <c r="D4" s="123"/>
      <c r="E4" s="124"/>
    </row>
    <row r="5" spans="2:5">
      <c r="B5" s="122" t="s">
        <v>360</v>
      </c>
      <c r="C5" s="123"/>
      <c r="D5" s="123"/>
      <c r="E5" s="124"/>
    </row>
    <row r="6" spans="2:5">
      <c r="B6" s="125" t="s">
        <v>361</v>
      </c>
      <c r="C6" s="125" t="s">
        <v>71</v>
      </c>
      <c r="D6" s="126"/>
      <c r="E6" s="124"/>
    </row>
    <row r="7" spans="2:5">
      <c r="B7" s="125" t="s">
        <v>362</v>
      </c>
      <c r="C7" s="125" t="s">
        <v>77</v>
      </c>
      <c r="D7" s="126"/>
      <c r="E7" s="124"/>
    </row>
    <row r="8" spans="2:5">
      <c r="B8" s="125" t="s">
        <v>363</v>
      </c>
      <c r="C8" s="125" t="s">
        <v>83</v>
      </c>
      <c r="D8" s="126"/>
      <c r="E8" s="124"/>
    </row>
    <row r="9" spans="2:5">
      <c r="B9" s="125" t="s">
        <v>364</v>
      </c>
      <c r="C9" s="125" t="s">
        <v>89</v>
      </c>
      <c r="D9" s="126"/>
      <c r="E9" s="124"/>
    </row>
    <row r="10" spans="2:5">
      <c r="B10" s="125" t="s">
        <v>365</v>
      </c>
      <c r="C10" s="125" t="s">
        <v>95</v>
      </c>
      <c r="D10" s="126"/>
      <c r="E10" s="124"/>
    </row>
    <row r="11" spans="2:5">
      <c r="B11" s="125" t="s">
        <v>366</v>
      </c>
      <c r="C11" s="125" t="s">
        <v>101</v>
      </c>
      <c r="D11" s="126"/>
      <c r="E11" s="124"/>
    </row>
    <row r="12" spans="2:5">
      <c r="B12" s="125" t="s">
        <v>367</v>
      </c>
      <c r="C12" s="125" t="s">
        <v>107</v>
      </c>
      <c r="D12" s="126"/>
      <c r="E12" s="124"/>
    </row>
    <row r="13" spans="2:5">
      <c r="B13" s="125" t="s">
        <v>368</v>
      </c>
      <c r="C13" s="125" t="s">
        <v>113</v>
      </c>
      <c r="D13" s="126"/>
      <c r="E13" s="124"/>
    </row>
    <row r="14" spans="2:5">
      <c r="B14" s="127" t="s">
        <v>369</v>
      </c>
      <c r="C14" s="124"/>
      <c r="D14" s="124"/>
      <c r="E14" s="124"/>
    </row>
    <row r="15" spans="2:5">
      <c r="B15" s="127" t="s">
        <v>370</v>
      </c>
      <c r="C15" s="124"/>
      <c r="D15" s="124"/>
      <c r="E15" s="124"/>
    </row>
    <row r="16" spans="2:5">
      <c r="B16" s="122"/>
      <c r="C16" s="124"/>
      <c r="D16" s="124"/>
      <c r="E16" s="124"/>
    </row>
    <row r="17" spans="2:7">
      <c r="B17" s="122" t="s">
        <v>371</v>
      </c>
      <c r="C17" s="124"/>
      <c r="D17" s="124"/>
      <c r="E17" s="124"/>
    </row>
    <row r="18" spans="2:7">
      <c r="B18" s="128"/>
    </row>
    <row r="19" spans="2:7">
      <c r="B19" s="128"/>
    </row>
    <row r="20" spans="2:7">
      <c r="C20" s="20"/>
      <c r="D20" s="129"/>
      <c r="E20" s="129"/>
      <c r="F20" s="129"/>
    </row>
    <row r="21" spans="2:7">
      <c r="B21" s="130" t="s">
        <v>119</v>
      </c>
      <c r="C21" s="27"/>
      <c r="D21" s="129"/>
      <c r="E21" s="129"/>
      <c r="F21" s="129"/>
      <c r="G21" s="129"/>
    </row>
    <row r="22" spans="2:7" ht="18">
      <c r="B22" s="131" t="str">
        <f>男甲賽程!Q6</f>
        <v>SCAA LM</v>
      </c>
      <c r="C22" s="132"/>
      <c r="D22" s="129"/>
      <c r="E22" s="133"/>
      <c r="F22" s="129"/>
      <c r="G22" s="129"/>
    </row>
    <row r="23" spans="2:7">
      <c r="C23" s="134" t="s">
        <v>372</v>
      </c>
      <c r="D23" s="135"/>
      <c r="F23" s="129"/>
    </row>
    <row r="24" spans="2:7" ht="18">
      <c r="C24" s="136"/>
      <c r="E24" s="131"/>
      <c r="F24" s="129"/>
      <c r="G24" s="129"/>
    </row>
    <row r="25" spans="2:7" ht="18">
      <c r="B25" s="131" t="str">
        <f>男甲賽程!Q9</f>
        <v xml:space="preserve">ALPS YK </v>
      </c>
      <c r="C25" s="137"/>
      <c r="D25" s="138"/>
      <c r="E25" s="139"/>
      <c r="F25" s="129"/>
      <c r="G25" s="140"/>
    </row>
    <row r="26" spans="2:7" ht="18">
      <c r="B26" s="130" t="s">
        <v>323</v>
      </c>
      <c r="C26" s="141"/>
      <c r="D26" s="142" t="s">
        <v>373</v>
      </c>
      <c r="E26" s="143"/>
      <c r="F26" s="129"/>
      <c r="G26" s="144"/>
    </row>
    <row r="27" spans="2:7" ht="18">
      <c r="C27" s="20"/>
      <c r="D27" s="145" t="s">
        <v>374</v>
      </c>
      <c r="E27" s="134"/>
      <c r="F27" s="146"/>
      <c r="G27" s="147"/>
    </row>
    <row r="28" spans="2:7" ht="18">
      <c r="B28" s="130" t="s">
        <v>215</v>
      </c>
      <c r="C28" s="148"/>
      <c r="D28" s="129"/>
      <c r="E28" s="143"/>
      <c r="F28" s="129"/>
      <c r="G28" s="140"/>
    </row>
    <row r="29" spans="2:7">
      <c r="B29" s="131" t="str">
        <f>男甲賽程!Q8</f>
        <v>2R</v>
      </c>
      <c r="C29" s="132"/>
      <c r="D29" s="129"/>
      <c r="E29" s="143"/>
      <c r="F29" s="129"/>
      <c r="G29" s="129"/>
    </row>
    <row r="30" spans="2:7">
      <c r="C30" s="134" t="s">
        <v>375</v>
      </c>
      <c r="D30" s="149"/>
      <c r="E30" s="131"/>
      <c r="F30" s="129"/>
    </row>
    <row r="31" spans="2:7">
      <c r="C31" s="143"/>
      <c r="D31" s="129"/>
      <c r="F31" s="129"/>
      <c r="G31" s="129"/>
    </row>
    <row r="32" spans="2:7" ht="18">
      <c r="B32" s="131" t="str">
        <f>男甲賽程!Q7</f>
        <v>ALPS-WL</v>
      </c>
      <c r="C32" s="137"/>
      <c r="D32" s="129"/>
      <c r="E32" s="133"/>
      <c r="G32" s="129"/>
    </row>
    <row r="33" spans="2:9" ht="18">
      <c r="B33" s="130" t="s">
        <v>209</v>
      </c>
      <c r="C33" s="133"/>
      <c r="E33" s="129"/>
      <c r="G33" s="129"/>
      <c r="H33" s="129"/>
      <c r="I33" s="129"/>
    </row>
    <row r="34" spans="2:9" ht="18">
      <c r="C34" s="129"/>
      <c r="E34" s="135"/>
      <c r="F34" s="148"/>
    </row>
    <row r="35" spans="2:9">
      <c r="E35" s="131"/>
      <c r="F35" s="150"/>
    </row>
    <row r="36" spans="2:9">
      <c r="F36" s="150"/>
    </row>
    <row r="37" spans="2:9">
      <c r="B37" s="151"/>
      <c r="E37" s="152"/>
      <c r="F37" s="153"/>
    </row>
    <row r="38" spans="2:9">
      <c r="B38" s="154" t="s">
        <v>376</v>
      </c>
      <c r="C38" s="130" t="s">
        <v>377</v>
      </c>
      <c r="E38" s="142" t="s">
        <v>378</v>
      </c>
      <c r="F38" s="134"/>
    </row>
    <row r="39" spans="2:9" ht="18">
      <c r="B39" s="154" t="s">
        <v>379</v>
      </c>
      <c r="C39" s="130" t="s">
        <v>380</v>
      </c>
      <c r="E39" s="142" t="s">
        <v>381</v>
      </c>
      <c r="F39" s="155"/>
      <c r="G39" s="156"/>
      <c r="H39" s="157"/>
    </row>
    <row r="40" spans="2:9">
      <c r="B40" s="154" t="s">
        <v>382</v>
      </c>
      <c r="C40" s="130" t="s">
        <v>383</v>
      </c>
      <c r="E40" s="152"/>
      <c r="F40" s="153"/>
    </row>
    <row r="41" spans="2:9">
      <c r="B41" s="142" t="s">
        <v>384</v>
      </c>
      <c r="C41" s="130" t="s">
        <v>385</v>
      </c>
      <c r="E41" s="152"/>
      <c r="F41" s="153"/>
    </row>
    <row r="42" spans="2:9">
      <c r="E42" s="131"/>
      <c r="F42" s="158"/>
    </row>
    <row r="43" spans="2:9" ht="18">
      <c r="E43" s="159"/>
    </row>
    <row r="47" spans="2:9">
      <c r="F47" s="129"/>
    </row>
  </sheetData>
  <phoneticPr fontId="118" type="noConversion"/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54"/>
  <sheetViews>
    <sheetView topLeftCell="B1" zoomScale="70" zoomScaleNormal="70" workbookViewId="0">
      <selection activeCell="B1" sqref="B1"/>
    </sheetView>
  </sheetViews>
  <sheetFormatPr defaultRowHeight="17.25"/>
  <cols>
    <col min="1" max="1" width="9.109375" style="160" hidden="1" customWidth="1"/>
    <col min="2" max="2" width="8.109375" style="160" customWidth="1"/>
    <col min="3" max="3" width="6.6640625" style="160" customWidth="1"/>
    <col min="4" max="4" width="11.6640625" style="160" customWidth="1"/>
    <col min="5" max="5" width="13.33203125" style="160" customWidth="1"/>
    <col min="6" max="6" width="4.33203125" style="160" customWidth="1"/>
    <col min="7" max="7" width="13.5546875" style="160" customWidth="1"/>
    <col min="8" max="8" width="17" style="160" customWidth="1"/>
    <col min="9" max="9" width="2.6640625" style="160" customWidth="1"/>
    <col min="10" max="10" width="15.6640625" style="160" customWidth="1"/>
    <col min="11" max="14" width="7.6640625" style="161" customWidth="1"/>
    <col min="15" max="15" width="30.6640625" style="160" customWidth="1"/>
    <col min="16" max="16" width="7.6640625" style="160" customWidth="1"/>
    <col min="17" max="17" width="12.44140625" style="160" customWidth="1"/>
    <col min="18" max="19" width="7.6640625" style="160" customWidth="1"/>
    <col min="20" max="20" width="7.5546875" style="160" customWidth="1"/>
    <col min="21" max="1025" width="7.6640625" style="160" customWidth="1"/>
  </cols>
  <sheetData>
    <row r="1" spans="1:21" ht="24.75">
      <c r="B1" s="162" t="s">
        <v>386</v>
      </c>
      <c r="C1" s="163"/>
      <c r="D1" s="163"/>
      <c r="E1" s="164"/>
      <c r="G1" s="161"/>
      <c r="H1" s="165"/>
    </row>
    <row r="2" spans="1:21" ht="25.5">
      <c r="B2" s="166" t="s">
        <v>387</v>
      </c>
      <c r="C2" s="167"/>
      <c r="D2" s="163"/>
      <c r="E2" s="164"/>
      <c r="G2" s="161"/>
      <c r="H2" s="165"/>
    </row>
    <row r="3" spans="1:21" ht="20.25">
      <c r="D3" s="168"/>
      <c r="E3" s="161"/>
      <c r="F3" s="161"/>
      <c r="G3" s="169"/>
      <c r="H3" s="170"/>
      <c r="I3" s="170"/>
      <c r="J3" s="170"/>
      <c r="K3" s="171" t="s">
        <v>388</v>
      </c>
      <c r="L3" s="172" t="s">
        <v>389</v>
      </c>
      <c r="M3" s="172" t="s">
        <v>389</v>
      </c>
      <c r="N3" s="172" t="s">
        <v>388</v>
      </c>
    </row>
    <row r="4" spans="1:21" ht="18.75">
      <c r="A4" s="173" t="s">
        <v>390</v>
      </c>
      <c r="B4" s="174"/>
      <c r="C4" s="175" t="s">
        <v>391</v>
      </c>
      <c r="D4" s="176" t="s">
        <v>392</v>
      </c>
      <c r="E4" s="110"/>
      <c r="F4" s="177" t="s">
        <v>393</v>
      </c>
      <c r="G4" s="175"/>
      <c r="H4" s="178" t="s">
        <v>394</v>
      </c>
      <c r="I4" s="179"/>
      <c r="J4" s="178" t="s">
        <v>395</v>
      </c>
      <c r="K4" s="180"/>
      <c r="L4" s="180"/>
      <c r="M4" s="180"/>
      <c r="N4" s="180"/>
    </row>
    <row r="5" spans="1:21" ht="16.5" customHeight="1">
      <c r="A5" s="181" t="s">
        <v>396</v>
      </c>
      <c r="B5" s="182"/>
      <c r="C5" s="183" t="s">
        <v>397</v>
      </c>
      <c r="D5" s="184" t="s">
        <v>398</v>
      </c>
      <c r="E5" s="110"/>
      <c r="F5" s="185" t="s">
        <v>399</v>
      </c>
      <c r="G5" s="183"/>
      <c r="H5" s="186" t="s">
        <v>51</v>
      </c>
      <c r="I5" s="174"/>
      <c r="J5" s="186" t="s">
        <v>51</v>
      </c>
      <c r="K5" s="180"/>
      <c r="L5" s="180"/>
      <c r="M5" s="180"/>
      <c r="N5" s="180"/>
      <c r="P5" s="187" t="s">
        <v>400</v>
      </c>
      <c r="Q5" s="188" t="s">
        <v>50</v>
      </c>
      <c r="R5" s="188" t="s">
        <v>401</v>
      </c>
      <c r="S5" s="188" t="s">
        <v>402</v>
      </c>
      <c r="T5" s="188" t="s">
        <v>403</v>
      </c>
      <c r="U5" s="188" t="s">
        <v>61</v>
      </c>
    </row>
    <row r="6" spans="1:21" ht="18.75">
      <c r="A6" s="189" t="e">
        <f>IF(#REF!&lt;&gt;#REF!,#REF!,"")</f>
        <v>#REF!</v>
      </c>
      <c r="B6" s="190">
        <v>1</v>
      </c>
      <c r="C6" s="191" t="s">
        <v>404</v>
      </c>
      <c r="D6" s="192">
        <v>1</v>
      </c>
      <c r="E6" s="193" t="s">
        <v>83</v>
      </c>
      <c r="F6" s="194" t="s">
        <v>405</v>
      </c>
      <c r="G6" s="195" t="s">
        <v>113</v>
      </c>
      <c r="H6" s="180" t="str">
        <f>VLOOKUP(E6,MD!$C$6:$K$102,3,0)</f>
        <v xml:space="preserve">ALPS - WL </v>
      </c>
      <c r="I6" s="196" t="s">
        <v>405</v>
      </c>
      <c r="J6" s="180" t="str">
        <f>VLOOKUP(G6,MD!$C$6:$K$102,3,0)</f>
        <v xml:space="preserve">Alps CAUTION </v>
      </c>
      <c r="K6" s="197">
        <v>2</v>
      </c>
      <c r="L6" s="180">
        <f>21+21</f>
        <v>42</v>
      </c>
      <c r="M6" s="180">
        <f>19+17</f>
        <v>36</v>
      </c>
      <c r="N6" s="180">
        <v>0</v>
      </c>
      <c r="O6" s="198" t="s">
        <v>406</v>
      </c>
      <c r="P6" s="179">
        <v>1</v>
      </c>
      <c r="Q6" s="199" t="s">
        <v>66</v>
      </c>
      <c r="R6" s="199">
        <v>6</v>
      </c>
      <c r="S6" s="199">
        <v>1</v>
      </c>
      <c r="T6" s="199">
        <v>0</v>
      </c>
      <c r="U6" s="199">
        <f t="shared" ref="U6:U13" si="0">R6*3+S6*1+T6*0</f>
        <v>19</v>
      </c>
    </row>
    <row r="7" spans="1:21" ht="18.75">
      <c r="A7" s="200" t="e">
        <f>IF(#REF!&lt;&gt;#REF!,#REF!,"")</f>
        <v>#REF!</v>
      </c>
      <c r="B7" s="201">
        <v>2</v>
      </c>
      <c r="C7" s="191" t="s">
        <v>404</v>
      </c>
      <c r="D7" s="192">
        <v>2</v>
      </c>
      <c r="E7" s="193" t="s">
        <v>89</v>
      </c>
      <c r="F7" s="194" t="s">
        <v>405</v>
      </c>
      <c r="G7" s="195" t="s">
        <v>107</v>
      </c>
      <c r="H7" s="180" t="str">
        <f>VLOOKUP(E7,MD!$C$6:$K$102,3,0)</f>
        <v xml:space="preserve">ALPS YK </v>
      </c>
      <c r="I7" s="196" t="s">
        <v>405</v>
      </c>
      <c r="J7" s="180" t="str">
        <f>VLOOKUP(G7,MD!$C$6:$K$102,3,0)</f>
        <v>SA</v>
      </c>
      <c r="K7" s="197">
        <v>0</v>
      </c>
      <c r="L7" s="180">
        <f>19+15</f>
        <v>34</v>
      </c>
      <c r="M7" s="180">
        <f>21+21</f>
        <v>42</v>
      </c>
      <c r="N7" s="180">
        <v>2</v>
      </c>
      <c r="O7" s="198" t="s">
        <v>407</v>
      </c>
      <c r="P7" s="179">
        <v>2</v>
      </c>
      <c r="Q7" s="199" t="s">
        <v>408</v>
      </c>
      <c r="R7" s="199">
        <v>4</v>
      </c>
      <c r="S7" s="199">
        <v>2</v>
      </c>
      <c r="T7" s="199">
        <v>1</v>
      </c>
      <c r="U7" s="199">
        <f t="shared" si="0"/>
        <v>14</v>
      </c>
    </row>
    <row r="8" spans="1:21" ht="18.75">
      <c r="A8" s="200" t="e">
        <f>IF(#REF!&lt;&gt;#REF!,#REF!,"")</f>
        <v>#REF!</v>
      </c>
      <c r="B8" s="190">
        <v>3</v>
      </c>
      <c r="C8" s="191" t="s">
        <v>404</v>
      </c>
      <c r="D8" s="192">
        <v>3</v>
      </c>
      <c r="E8" s="193" t="s">
        <v>71</v>
      </c>
      <c r="F8" s="194" t="s">
        <v>405</v>
      </c>
      <c r="G8" s="195" t="s">
        <v>101</v>
      </c>
      <c r="H8" s="180" t="str">
        <f>VLOOKUP(E8,MD!$C$6:$K$102,3,0)</f>
        <v>SCAA LM</v>
      </c>
      <c r="I8" s="196" t="s">
        <v>405</v>
      </c>
      <c r="J8" s="180" t="str">
        <f>VLOOKUP(G8,MD!$C$6:$K$102,3,0)</f>
        <v>Alps-Dr. Chan</v>
      </c>
      <c r="K8" s="197">
        <v>1</v>
      </c>
      <c r="L8" s="180">
        <f>21+5</f>
        <v>26</v>
      </c>
      <c r="M8" s="180">
        <f>17+21</f>
        <v>38</v>
      </c>
      <c r="N8" s="180">
        <v>1</v>
      </c>
      <c r="O8" s="198" t="s">
        <v>409</v>
      </c>
      <c r="P8" s="179">
        <v>3</v>
      </c>
      <c r="Q8" s="199" t="s">
        <v>72</v>
      </c>
      <c r="R8" s="199">
        <v>3</v>
      </c>
      <c r="S8" s="199">
        <v>2</v>
      </c>
      <c r="T8" s="199">
        <v>2</v>
      </c>
      <c r="U8" s="199">
        <f t="shared" si="0"/>
        <v>11</v>
      </c>
    </row>
    <row r="9" spans="1:21" ht="18.75">
      <c r="A9" s="200" t="e">
        <f>IF(#REF!&lt;&gt;#REF!,#REF!,"")</f>
        <v>#REF!</v>
      </c>
      <c r="B9" s="201">
        <v>4</v>
      </c>
      <c r="C9" s="191" t="s">
        <v>404</v>
      </c>
      <c r="D9" s="192">
        <v>4</v>
      </c>
      <c r="E9" s="202" t="s">
        <v>95</v>
      </c>
      <c r="F9" s="203" t="s">
        <v>405</v>
      </c>
      <c r="G9" s="204" t="s">
        <v>77</v>
      </c>
      <c r="H9" s="180" t="str">
        <f>VLOOKUP(E9,MD!$C$6:$K$102,3,0)</f>
        <v xml:space="preserve">ALPS - T&amp;W </v>
      </c>
      <c r="I9" s="196" t="s">
        <v>405</v>
      </c>
      <c r="J9" s="180" t="str">
        <f>VLOOKUP(G9,MD!$C$6:$K$102,3,0)</f>
        <v>2R</v>
      </c>
      <c r="K9" s="197">
        <v>0</v>
      </c>
      <c r="L9" s="180">
        <f>19+12</f>
        <v>31</v>
      </c>
      <c r="M9" s="180">
        <f>21+21</f>
        <v>42</v>
      </c>
      <c r="N9" s="180">
        <v>2</v>
      </c>
      <c r="O9" s="198" t="s">
        <v>410</v>
      </c>
      <c r="P9" s="179">
        <v>4</v>
      </c>
      <c r="Q9" s="199" t="s">
        <v>84</v>
      </c>
      <c r="R9" s="199">
        <v>3</v>
      </c>
      <c r="S9" s="199">
        <v>1</v>
      </c>
      <c r="T9" s="199">
        <v>3</v>
      </c>
      <c r="U9" s="199">
        <f t="shared" si="0"/>
        <v>10</v>
      </c>
    </row>
    <row r="10" spans="1:21" ht="18.75">
      <c r="A10" s="200" t="e">
        <f>IF(#REF!&lt;&gt;#REF!,#REF!,"")</f>
        <v>#REF!</v>
      </c>
      <c r="B10" s="190">
        <v>5</v>
      </c>
      <c r="C10" s="191" t="s">
        <v>404</v>
      </c>
      <c r="D10" s="192">
        <v>5</v>
      </c>
      <c r="E10" s="193" t="s">
        <v>77</v>
      </c>
      <c r="F10" s="194" t="s">
        <v>405</v>
      </c>
      <c r="G10" s="195" t="s">
        <v>107</v>
      </c>
      <c r="H10" s="180" t="str">
        <f>VLOOKUP(E10,MD!$C$6:$K$102,3,0)</f>
        <v>2R</v>
      </c>
      <c r="I10" s="196" t="s">
        <v>405</v>
      </c>
      <c r="J10" s="180" t="str">
        <f>VLOOKUP(G10,MD!$C$6:$K$102,3,0)</f>
        <v>SA</v>
      </c>
      <c r="K10" s="197">
        <v>2</v>
      </c>
      <c r="L10" s="180">
        <f>21+21</f>
        <v>42</v>
      </c>
      <c r="M10" s="180">
        <f>16+14</f>
        <v>30</v>
      </c>
      <c r="N10" s="180">
        <v>0</v>
      </c>
      <c r="O10" s="198" t="s">
        <v>411</v>
      </c>
      <c r="P10" s="179">
        <v>5</v>
      </c>
      <c r="Q10" s="199" t="s">
        <v>412</v>
      </c>
      <c r="R10" s="199">
        <v>2</v>
      </c>
      <c r="S10" s="199">
        <v>1</v>
      </c>
      <c r="T10" s="199">
        <v>4</v>
      </c>
      <c r="U10" s="199">
        <f t="shared" si="0"/>
        <v>7</v>
      </c>
    </row>
    <row r="11" spans="1:21" ht="18.75">
      <c r="A11" s="200"/>
      <c r="B11" s="201">
        <v>6</v>
      </c>
      <c r="C11" s="191" t="s">
        <v>404</v>
      </c>
      <c r="D11" s="192">
        <v>6</v>
      </c>
      <c r="E11" s="193" t="s">
        <v>101</v>
      </c>
      <c r="F11" s="194" t="s">
        <v>405</v>
      </c>
      <c r="G11" s="195" t="s">
        <v>83</v>
      </c>
      <c r="H11" s="180" t="str">
        <f>VLOOKUP(E11,MD!$C$6:$K$102,3,0)</f>
        <v>Alps-Dr. Chan</v>
      </c>
      <c r="I11" s="196" t="s">
        <v>405</v>
      </c>
      <c r="J11" s="180" t="str">
        <f>VLOOKUP(G11,MD!$C$6:$K$102,3,0)</f>
        <v xml:space="preserve">ALPS - WL </v>
      </c>
      <c r="K11" s="197">
        <v>0</v>
      </c>
      <c r="L11" s="180">
        <f>14+16</f>
        <v>30</v>
      </c>
      <c r="M11" s="180">
        <f>21+21</f>
        <v>42</v>
      </c>
      <c r="N11" s="180">
        <v>2</v>
      </c>
      <c r="O11" s="198" t="s">
        <v>413</v>
      </c>
      <c r="P11" s="179">
        <v>6</v>
      </c>
      <c r="Q11" s="199" t="s">
        <v>96</v>
      </c>
      <c r="R11" s="199">
        <v>1</v>
      </c>
      <c r="S11" s="199">
        <v>3</v>
      </c>
      <c r="T11" s="199">
        <v>3</v>
      </c>
      <c r="U11" s="199">
        <f t="shared" si="0"/>
        <v>6</v>
      </c>
    </row>
    <row r="12" spans="1:21" ht="18.75">
      <c r="A12" s="200"/>
      <c r="B12" s="190">
        <v>7</v>
      </c>
      <c r="C12" s="191" t="s">
        <v>404</v>
      </c>
      <c r="D12" s="192">
        <v>7</v>
      </c>
      <c r="E12" s="193" t="s">
        <v>95</v>
      </c>
      <c r="F12" s="194" t="s">
        <v>405</v>
      </c>
      <c r="G12" s="195" t="s">
        <v>89</v>
      </c>
      <c r="H12" s="180" t="str">
        <f>VLOOKUP(E12,MD!$C$6:$K$102,3,0)</f>
        <v xml:space="preserve">ALPS - T&amp;W </v>
      </c>
      <c r="I12" s="196" t="s">
        <v>405</v>
      </c>
      <c r="J12" s="180" t="str">
        <f>VLOOKUP(G12,MD!$C$6:$K$102,3,0)</f>
        <v xml:space="preserve">ALPS YK </v>
      </c>
      <c r="K12" s="197">
        <v>0</v>
      </c>
      <c r="L12" s="180">
        <f>18+13</f>
        <v>31</v>
      </c>
      <c r="M12" s="180">
        <f>21+21</f>
        <v>42</v>
      </c>
      <c r="N12" s="180">
        <v>2</v>
      </c>
      <c r="O12" s="198" t="s">
        <v>414</v>
      </c>
      <c r="P12" s="179">
        <v>7</v>
      </c>
      <c r="Q12" s="199" t="s">
        <v>102</v>
      </c>
      <c r="R12" s="199">
        <v>1</v>
      </c>
      <c r="S12" s="199">
        <v>2</v>
      </c>
      <c r="T12" s="199">
        <v>4</v>
      </c>
      <c r="U12" s="199">
        <f t="shared" si="0"/>
        <v>5</v>
      </c>
    </row>
    <row r="13" spans="1:21" ht="18.75">
      <c r="A13" s="200"/>
      <c r="B13" s="201">
        <v>8</v>
      </c>
      <c r="C13" s="191" t="s">
        <v>404</v>
      </c>
      <c r="D13" s="192">
        <v>8</v>
      </c>
      <c r="E13" s="202" t="s">
        <v>71</v>
      </c>
      <c r="F13" s="203" t="s">
        <v>405</v>
      </c>
      <c r="G13" s="204" t="s">
        <v>113</v>
      </c>
      <c r="H13" s="180" t="str">
        <f>VLOOKUP(E13,MD!$C$6:$K$102,3,0)</f>
        <v>SCAA LM</v>
      </c>
      <c r="I13" s="196" t="s">
        <v>405</v>
      </c>
      <c r="J13" s="180" t="str">
        <f>VLOOKUP(G13,MD!$C$6:$K$102,3,0)</f>
        <v xml:space="preserve">Alps CAUTION </v>
      </c>
      <c r="K13" s="197">
        <v>2</v>
      </c>
      <c r="L13" s="180">
        <f>21+21</f>
        <v>42</v>
      </c>
      <c r="M13" s="180">
        <f>13+13</f>
        <v>26</v>
      </c>
      <c r="N13" s="180">
        <v>0</v>
      </c>
      <c r="O13" s="198" t="s">
        <v>415</v>
      </c>
      <c r="P13" s="179">
        <v>8</v>
      </c>
      <c r="Q13" s="199" t="s">
        <v>108</v>
      </c>
      <c r="R13" s="199">
        <v>0</v>
      </c>
      <c r="S13" s="199">
        <v>4</v>
      </c>
      <c r="T13" s="199">
        <v>3</v>
      </c>
      <c r="U13" s="199">
        <f t="shared" si="0"/>
        <v>4</v>
      </c>
    </row>
    <row r="14" spans="1:21" ht="18.75">
      <c r="A14" s="200"/>
      <c r="B14" s="190">
        <v>9</v>
      </c>
      <c r="C14" s="191" t="s">
        <v>404</v>
      </c>
      <c r="D14" s="192">
        <v>9</v>
      </c>
      <c r="E14" s="193" t="s">
        <v>101</v>
      </c>
      <c r="F14" s="194" t="s">
        <v>405</v>
      </c>
      <c r="G14" s="195" t="s">
        <v>89</v>
      </c>
      <c r="H14" s="180" t="str">
        <f>VLOOKUP(E14,MD!$C$6:$K$102,3,0)</f>
        <v>Alps-Dr. Chan</v>
      </c>
      <c r="I14" s="196" t="s">
        <v>405</v>
      </c>
      <c r="J14" s="180" t="str">
        <f>VLOOKUP(G14,MD!$C$6:$K$102,3,0)</f>
        <v xml:space="preserve">ALPS YK </v>
      </c>
      <c r="K14" s="197">
        <v>0</v>
      </c>
      <c r="L14" s="180">
        <f>17+15</f>
        <v>32</v>
      </c>
      <c r="M14" s="180">
        <f>21+21</f>
        <v>42</v>
      </c>
      <c r="N14" s="180">
        <v>2</v>
      </c>
      <c r="O14" s="198" t="s">
        <v>416</v>
      </c>
      <c r="P14" s="20"/>
      <c r="Q14" s="20"/>
      <c r="R14" s="20"/>
      <c r="S14" s="20"/>
      <c r="T14" s="20"/>
    </row>
    <row r="15" spans="1:21" ht="18.75">
      <c r="A15" s="200"/>
      <c r="B15" s="201">
        <v>10</v>
      </c>
      <c r="C15" s="191" t="s">
        <v>404</v>
      </c>
      <c r="D15" s="192">
        <v>10</v>
      </c>
      <c r="E15" s="193" t="s">
        <v>71</v>
      </c>
      <c r="F15" s="194" t="s">
        <v>405</v>
      </c>
      <c r="G15" s="195" t="s">
        <v>77</v>
      </c>
      <c r="H15" s="180" t="str">
        <f>VLOOKUP(E15,MD!$C$6:$K$102,3,0)</f>
        <v>SCAA LM</v>
      </c>
      <c r="I15" s="196" t="s">
        <v>405</v>
      </c>
      <c r="J15" s="180" t="str">
        <f>VLOOKUP(G15,MD!$C$6:$K$102,3,0)</f>
        <v>2R</v>
      </c>
      <c r="K15" s="197">
        <v>2</v>
      </c>
      <c r="L15" s="180">
        <f>21+21</f>
        <v>42</v>
      </c>
      <c r="M15" s="180">
        <f>11+13</f>
        <v>24</v>
      </c>
      <c r="N15" s="180">
        <v>0</v>
      </c>
      <c r="O15" s="198" t="s">
        <v>417</v>
      </c>
      <c r="P15" s="20"/>
      <c r="Q15" s="20"/>
      <c r="R15" s="205" t="s">
        <v>418</v>
      </c>
      <c r="S15" s="205" t="s">
        <v>419</v>
      </c>
      <c r="T15" s="205" t="s">
        <v>420</v>
      </c>
    </row>
    <row r="16" spans="1:21" ht="18.75">
      <c r="A16" s="200"/>
      <c r="B16" s="190">
        <v>11</v>
      </c>
      <c r="C16" s="191" t="s">
        <v>404</v>
      </c>
      <c r="D16" s="192">
        <v>11</v>
      </c>
      <c r="E16" s="193" t="s">
        <v>107</v>
      </c>
      <c r="F16" s="194" t="s">
        <v>405</v>
      </c>
      <c r="G16" s="195" t="s">
        <v>83</v>
      </c>
      <c r="H16" s="180" t="str">
        <f>VLOOKUP(E16,MD!$C$6:$K$102,3,0)</f>
        <v>SA</v>
      </c>
      <c r="I16" s="196" t="s">
        <v>405</v>
      </c>
      <c r="J16" s="180" t="str">
        <f>VLOOKUP(G16,MD!$C$6:$K$102,3,0)</f>
        <v xml:space="preserve">ALPS - WL </v>
      </c>
      <c r="K16" s="197">
        <v>0</v>
      </c>
      <c r="L16" s="180">
        <f>19+19</f>
        <v>38</v>
      </c>
      <c r="M16" s="180">
        <f>21+21</f>
        <v>42</v>
      </c>
      <c r="N16" s="180">
        <v>2</v>
      </c>
      <c r="O16" s="198" t="s">
        <v>421</v>
      </c>
      <c r="P16" s="20"/>
      <c r="Q16" s="206" t="s">
        <v>66</v>
      </c>
      <c r="R16" s="117">
        <f>L8+L13+L15+M21+L24+L29+M32</f>
        <v>279</v>
      </c>
      <c r="S16" s="117">
        <f>M8+M13+M15+L21+M24+M29+L32</f>
        <v>188</v>
      </c>
      <c r="T16" s="207">
        <f t="shared" ref="T16:T23" si="1">R16/S16</f>
        <v>1.4840425531914894</v>
      </c>
    </row>
    <row r="17" spans="1:20" ht="18.75">
      <c r="A17" s="200"/>
      <c r="B17" s="201">
        <v>12</v>
      </c>
      <c r="C17" s="191" t="s">
        <v>404</v>
      </c>
      <c r="D17" s="192">
        <v>12</v>
      </c>
      <c r="E17" s="202" t="s">
        <v>113</v>
      </c>
      <c r="F17" s="203" t="s">
        <v>405</v>
      </c>
      <c r="G17" s="204" t="s">
        <v>95</v>
      </c>
      <c r="H17" s="180" t="str">
        <f>VLOOKUP(E17,MD!$C$6:$K$102,3,0)</f>
        <v xml:space="preserve">Alps CAUTION </v>
      </c>
      <c r="I17" s="196" t="s">
        <v>405</v>
      </c>
      <c r="J17" s="180" t="str">
        <f>VLOOKUP(G17,MD!$C$6:$K$102,3,0)</f>
        <v xml:space="preserve">ALPS - T&amp;W </v>
      </c>
      <c r="K17" s="197">
        <v>1</v>
      </c>
      <c r="L17" s="180">
        <f>21+10</f>
        <v>31</v>
      </c>
      <c r="M17" s="180">
        <f>19+21</f>
        <v>40</v>
      </c>
      <c r="N17" s="180">
        <v>1</v>
      </c>
      <c r="O17" s="198" t="s">
        <v>422</v>
      </c>
      <c r="Q17" s="198" t="s">
        <v>72</v>
      </c>
      <c r="R17" s="161">
        <f>L10+M9+M15+M20+M25+L28+M31</f>
        <v>235</v>
      </c>
      <c r="S17" s="161">
        <f>L9+M10+L15+L20+L25+M28+L31</f>
        <v>268</v>
      </c>
      <c r="T17" s="207">
        <f t="shared" si="1"/>
        <v>0.87686567164179108</v>
      </c>
    </row>
    <row r="18" spans="1:20" ht="18.75">
      <c r="A18" s="200"/>
      <c r="B18" s="190">
        <v>13</v>
      </c>
      <c r="C18" s="191" t="s">
        <v>404</v>
      </c>
      <c r="D18" s="192">
        <v>13</v>
      </c>
      <c r="E18" s="193" t="s">
        <v>101</v>
      </c>
      <c r="F18" s="194" t="s">
        <v>405</v>
      </c>
      <c r="G18" s="195" t="s">
        <v>107</v>
      </c>
      <c r="H18" s="180" t="str">
        <f>VLOOKUP(E18,MD!$C$6:$K$54,3,0)</f>
        <v>Alps-Dr. Chan</v>
      </c>
      <c r="I18" s="196" t="s">
        <v>405</v>
      </c>
      <c r="J18" s="180" t="str">
        <f>VLOOKUP(G18,MD!$C$6:$K$54,3,0)</f>
        <v>SA</v>
      </c>
      <c r="K18" s="197">
        <v>1</v>
      </c>
      <c r="L18" s="180">
        <f>21+19</f>
        <v>40</v>
      </c>
      <c r="M18" s="180">
        <f>13+21</f>
        <v>34</v>
      </c>
      <c r="N18" s="180">
        <v>1</v>
      </c>
      <c r="O18" s="198" t="s">
        <v>423</v>
      </c>
      <c r="Q18" s="198" t="s">
        <v>78</v>
      </c>
      <c r="R18" s="161">
        <f>L6+M11+M16+M19+M24+M28+M33</f>
        <v>287</v>
      </c>
      <c r="S18" s="161">
        <f>M6+L11+L16+L19+L24+L28+L33</f>
        <v>266</v>
      </c>
      <c r="T18" s="207">
        <f t="shared" si="1"/>
        <v>1.0789473684210527</v>
      </c>
    </row>
    <row r="19" spans="1:20" ht="18.75">
      <c r="A19" s="200" t="e">
        <f>IF(#REF!&lt;&gt;#REF!,#REF!,"")</f>
        <v>#REF!</v>
      </c>
      <c r="B19" s="201">
        <v>14</v>
      </c>
      <c r="C19" s="191" t="s">
        <v>404</v>
      </c>
      <c r="D19" s="192">
        <v>14</v>
      </c>
      <c r="E19" s="193" t="s">
        <v>89</v>
      </c>
      <c r="F19" s="194" t="s">
        <v>405</v>
      </c>
      <c r="G19" s="195" t="s">
        <v>83</v>
      </c>
      <c r="H19" s="180" t="str">
        <f>VLOOKUP(E19,MD!$C$6:$K$54,3,0)</f>
        <v xml:space="preserve">ALPS YK </v>
      </c>
      <c r="I19" s="196" t="s">
        <v>405</v>
      </c>
      <c r="J19" s="180" t="str">
        <f>VLOOKUP(G19,MD!$C$6:$K$54,3,0)</f>
        <v xml:space="preserve">ALPS - WL </v>
      </c>
      <c r="K19" s="197">
        <v>1</v>
      </c>
      <c r="L19" s="180">
        <f>25+19</f>
        <v>44</v>
      </c>
      <c r="M19" s="180">
        <f>23+21</f>
        <v>44</v>
      </c>
      <c r="N19" s="180">
        <v>1</v>
      </c>
      <c r="O19" s="198" t="s">
        <v>424</v>
      </c>
      <c r="Q19" s="198" t="s">
        <v>84</v>
      </c>
      <c r="R19" s="161">
        <f>L7+M12+M14+L19+L25+M29+L30</f>
        <v>280</v>
      </c>
      <c r="S19" s="161">
        <f>M7+L12+L14+M19+M25+L29+M30</f>
        <v>238</v>
      </c>
      <c r="T19" s="207">
        <f t="shared" si="1"/>
        <v>1.1764705882352942</v>
      </c>
    </row>
    <row r="20" spans="1:20" ht="18.75">
      <c r="A20" s="200" t="e">
        <f>IF(#REF!&lt;&gt;#REF!,#REF!,"")</f>
        <v>#REF!</v>
      </c>
      <c r="B20" s="190">
        <v>15</v>
      </c>
      <c r="C20" s="191" t="s">
        <v>404</v>
      </c>
      <c r="D20" s="192">
        <v>15</v>
      </c>
      <c r="E20" s="193" t="s">
        <v>113</v>
      </c>
      <c r="F20" s="194" t="s">
        <v>405</v>
      </c>
      <c r="G20" s="195" t="s">
        <v>77</v>
      </c>
      <c r="H20" s="180" t="str">
        <f>VLOOKUP(E20,MD!$C$6:$K$54,3,0)</f>
        <v xml:space="preserve">Alps CAUTION </v>
      </c>
      <c r="I20" s="196" t="s">
        <v>405</v>
      </c>
      <c r="J20" s="180" t="str">
        <f>VLOOKUP(G20,MD!$C$6:$K$54,3,0)</f>
        <v>2R</v>
      </c>
      <c r="K20" s="197">
        <v>1</v>
      </c>
      <c r="L20" s="180">
        <f>21+23</f>
        <v>44</v>
      </c>
      <c r="M20" s="180">
        <f>19+25</f>
        <v>44</v>
      </c>
      <c r="N20" s="180">
        <v>1</v>
      </c>
      <c r="O20" s="198" t="s">
        <v>425</v>
      </c>
      <c r="Q20" s="198" t="s">
        <v>90</v>
      </c>
      <c r="R20" s="161">
        <f>L9+L12+M17+L21+M22+L26+L33</f>
        <v>255</v>
      </c>
      <c r="S20" s="161">
        <f>M9+M12+L17+M21+L22+M26+M33</f>
        <v>259</v>
      </c>
      <c r="T20" s="207">
        <f t="shared" si="1"/>
        <v>0.98455598455598459</v>
      </c>
    </row>
    <row r="21" spans="1:20" ht="18.75">
      <c r="A21" s="200" t="e">
        <f>IF(#REF!&lt;&gt;#REF!,#REF!,"")</f>
        <v>#REF!</v>
      </c>
      <c r="B21" s="201">
        <v>16</v>
      </c>
      <c r="C21" s="191" t="s">
        <v>404</v>
      </c>
      <c r="D21" s="192">
        <v>16</v>
      </c>
      <c r="E21" s="202" t="s">
        <v>95</v>
      </c>
      <c r="F21" s="203" t="s">
        <v>405</v>
      </c>
      <c r="G21" s="204" t="s">
        <v>71</v>
      </c>
      <c r="H21" s="180" t="str">
        <f>VLOOKUP(E21,MD!$C$6:$K$54,3,0)</f>
        <v xml:space="preserve">ALPS - T&amp;W </v>
      </c>
      <c r="I21" s="196" t="s">
        <v>405</v>
      </c>
      <c r="J21" s="180" t="str">
        <f>VLOOKUP(G21,MD!$C$6:$K$54,3,0)</f>
        <v>SCAA LM</v>
      </c>
      <c r="K21" s="197">
        <v>0</v>
      </c>
      <c r="L21" s="180">
        <f>15+14</f>
        <v>29</v>
      </c>
      <c r="M21" s="180">
        <f>21+21</f>
        <v>42</v>
      </c>
      <c r="N21" s="180">
        <v>2</v>
      </c>
      <c r="O21" s="198" t="s">
        <v>426</v>
      </c>
      <c r="Q21" s="198" t="s">
        <v>96</v>
      </c>
      <c r="R21" s="161">
        <f>M8+L11+L14+L18+M23+M26</f>
        <v>207</v>
      </c>
      <c r="S21" s="161">
        <f>L8+M11+M14+M18+L23+L26</f>
        <v>231</v>
      </c>
      <c r="T21" s="207">
        <f t="shared" si="1"/>
        <v>0.89610389610389607</v>
      </c>
    </row>
    <row r="22" spans="1:20" ht="18.75">
      <c r="A22" s="200" t="e">
        <f>IF(#REF!&lt;&gt;#REF!,#REF!,"")</f>
        <v>#REF!</v>
      </c>
      <c r="B22" s="190">
        <v>17</v>
      </c>
      <c r="C22" s="191" t="s">
        <v>404</v>
      </c>
      <c r="D22" s="192">
        <v>17</v>
      </c>
      <c r="E22" s="193" t="s">
        <v>107</v>
      </c>
      <c r="F22" s="194" t="s">
        <v>405</v>
      </c>
      <c r="G22" s="195" t="s">
        <v>95</v>
      </c>
      <c r="H22" s="180" t="str">
        <f>VLOOKUP(E22,MD!$C$6:$K$54,3,0)</f>
        <v>SA</v>
      </c>
      <c r="I22" s="196" t="s">
        <v>405</v>
      </c>
      <c r="J22" s="180" t="str">
        <f>VLOOKUP(G22,MD!$C$6:$K$54,3,0)</f>
        <v xml:space="preserve">ALPS - T&amp;W </v>
      </c>
      <c r="K22" s="197">
        <v>0</v>
      </c>
      <c r="L22" s="180">
        <f>20+17</f>
        <v>37</v>
      </c>
      <c r="M22" s="180">
        <f>22+21</f>
        <v>43</v>
      </c>
      <c r="N22" s="180">
        <v>2</v>
      </c>
      <c r="O22" s="198" t="s">
        <v>427</v>
      </c>
      <c r="Q22" s="198" t="s">
        <v>102</v>
      </c>
      <c r="R22" s="161">
        <f>M7+M10+M18+L16+L22+M27</f>
        <v>214</v>
      </c>
      <c r="S22" s="161">
        <f>L7+L10+M16+L18+M22+L27</f>
        <v>236</v>
      </c>
      <c r="T22" s="207">
        <f t="shared" si="1"/>
        <v>0.90677966101694918</v>
      </c>
    </row>
    <row r="23" spans="1:20" ht="18.75">
      <c r="A23" s="200" t="e">
        <f>IF(#REF!&lt;&gt;#REF!,#REF!,"")</f>
        <v>#REF!</v>
      </c>
      <c r="B23" s="201">
        <v>18</v>
      </c>
      <c r="C23" s="191" t="s">
        <v>404</v>
      </c>
      <c r="D23" s="192">
        <v>18</v>
      </c>
      <c r="E23" s="193" t="s">
        <v>113</v>
      </c>
      <c r="F23" s="194" t="s">
        <v>405</v>
      </c>
      <c r="G23" s="195" t="s">
        <v>101</v>
      </c>
      <c r="H23" s="180" t="str">
        <f>VLOOKUP(E23,MD!$C$6:$K$54,3,0)</f>
        <v xml:space="preserve">Alps CAUTION </v>
      </c>
      <c r="I23" s="196" t="s">
        <v>405</v>
      </c>
      <c r="J23" s="180" t="str">
        <f>VLOOKUP(G23,MD!$C$6:$K$54,3,0)</f>
        <v>Alps-Dr. Chan</v>
      </c>
      <c r="K23" s="197">
        <v>1</v>
      </c>
      <c r="L23" s="180">
        <f>21+24</f>
        <v>45</v>
      </c>
      <c r="M23" s="180">
        <f>23+22</f>
        <v>45</v>
      </c>
      <c r="N23" s="180">
        <v>1</v>
      </c>
      <c r="O23" s="198" t="s">
        <v>428</v>
      </c>
      <c r="Q23" s="198" t="s">
        <v>108</v>
      </c>
      <c r="R23" s="161">
        <f>M6+M13+L17+L20+L23+L27</f>
        <v>217</v>
      </c>
      <c r="S23" s="161">
        <f>L6+L13+M17+M20+M23+M27</f>
        <v>246</v>
      </c>
      <c r="T23" s="207">
        <f t="shared" si="1"/>
        <v>0.88211382113821135</v>
      </c>
    </row>
    <row r="24" spans="1:20" ht="18.75">
      <c r="A24" s="200" t="e">
        <f>IF(#REF!&lt;&gt;#REF!,#REF!,"")</f>
        <v>#REF!</v>
      </c>
      <c r="B24" s="190">
        <v>19</v>
      </c>
      <c r="C24" s="191" t="s">
        <v>404</v>
      </c>
      <c r="D24" s="192">
        <v>19</v>
      </c>
      <c r="E24" s="193" t="s">
        <v>71</v>
      </c>
      <c r="F24" s="194" t="s">
        <v>405</v>
      </c>
      <c r="G24" s="195" t="s">
        <v>83</v>
      </c>
      <c r="H24" s="180" t="str">
        <f>VLOOKUP(E24,MD!$C$6:$K$54,3,0)</f>
        <v>SCAA LM</v>
      </c>
      <c r="I24" s="196" t="s">
        <v>405</v>
      </c>
      <c r="J24" s="180" t="str">
        <f>VLOOKUP(G24,MD!$C$6:$K$54,3,0)</f>
        <v xml:space="preserve">ALPS - WL </v>
      </c>
      <c r="K24" s="197">
        <v>2</v>
      </c>
      <c r="L24" s="180">
        <f>21+21</f>
        <v>42</v>
      </c>
      <c r="M24" s="180">
        <f>19+17</f>
        <v>36</v>
      </c>
      <c r="N24" s="180">
        <v>0</v>
      </c>
      <c r="O24" s="198" t="s">
        <v>406</v>
      </c>
    </row>
    <row r="25" spans="1:20" ht="18.75">
      <c r="A25" s="200" t="e">
        <f>IF(#REF!&lt;&gt;#REF!,#REF!,"")</f>
        <v>#REF!</v>
      </c>
      <c r="B25" s="201">
        <v>20</v>
      </c>
      <c r="C25" s="191" t="s">
        <v>404</v>
      </c>
      <c r="D25" s="192">
        <v>20</v>
      </c>
      <c r="E25" s="202" t="s">
        <v>89</v>
      </c>
      <c r="F25" s="203" t="s">
        <v>405</v>
      </c>
      <c r="G25" s="204" t="s">
        <v>77</v>
      </c>
      <c r="H25" s="180" t="str">
        <f>VLOOKUP(E25,MD!$C$6:$K$54,3,0)</f>
        <v xml:space="preserve">ALPS YK </v>
      </c>
      <c r="I25" s="196" t="s">
        <v>405</v>
      </c>
      <c r="J25" s="180" t="str">
        <f>VLOOKUP(G25,MD!$C$6:$K$54,3,0)</f>
        <v>2R</v>
      </c>
      <c r="K25" s="197">
        <v>0</v>
      </c>
      <c r="L25" s="180">
        <f>18+23</f>
        <v>41</v>
      </c>
      <c r="M25" s="180">
        <f>21+25</f>
        <v>46</v>
      </c>
      <c r="N25" s="180">
        <v>2</v>
      </c>
      <c r="O25" s="198" t="s">
        <v>429</v>
      </c>
    </row>
    <row r="26" spans="1:20" ht="18.75">
      <c r="A26" s="200" t="e">
        <f>IF(#REF!&lt;&gt;#REF!,#REF!,"")</f>
        <v>#REF!</v>
      </c>
      <c r="B26" s="190">
        <v>21</v>
      </c>
      <c r="C26" s="191" t="s">
        <v>404</v>
      </c>
      <c r="D26" s="192">
        <v>21</v>
      </c>
      <c r="E26" s="193" t="s">
        <v>95</v>
      </c>
      <c r="F26" s="194" t="s">
        <v>405</v>
      </c>
      <c r="G26" s="195" t="s">
        <v>101</v>
      </c>
      <c r="H26" s="180" t="str">
        <f>VLOOKUP(E26,MD!$C$6:$K$54,3,0)</f>
        <v xml:space="preserve">ALPS - T&amp;W </v>
      </c>
      <c r="I26" s="196" t="s">
        <v>405</v>
      </c>
      <c r="J26" s="180" t="str">
        <f>VLOOKUP(G26,MD!$C$6:$K$54,3,0)</f>
        <v>Alps-Dr. Chan</v>
      </c>
      <c r="K26" s="197">
        <v>2</v>
      </c>
      <c r="L26" s="180">
        <f>21+21</f>
        <v>42</v>
      </c>
      <c r="M26" s="180">
        <f>11+11</f>
        <v>22</v>
      </c>
      <c r="N26" s="180">
        <v>0</v>
      </c>
      <c r="O26" s="198" t="s">
        <v>430</v>
      </c>
    </row>
    <row r="27" spans="1:20" ht="18.75">
      <c r="A27" s="200" t="e">
        <f>IF(#REF!&lt;&gt;#REF!,#REF!,"")</f>
        <v>#REF!</v>
      </c>
      <c r="B27" s="201">
        <v>22</v>
      </c>
      <c r="C27" s="191" t="s">
        <v>404</v>
      </c>
      <c r="D27" s="192">
        <v>22</v>
      </c>
      <c r="E27" s="193" t="s">
        <v>113</v>
      </c>
      <c r="F27" s="194" t="s">
        <v>405</v>
      </c>
      <c r="G27" s="195" t="s">
        <v>107</v>
      </c>
      <c r="H27" s="180" t="str">
        <f>VLOOKUP(E27,MD!$C$6:$K$54,3,0)</f>
        <v xml:space="preserve">Alps CAUTION </v>
      </c>
      <c r="I27" s="196" t="s">
        <v>405</v>
      </c>
      <c r="J27" s="180" t="str">
        <f>VLOOKUP(G27,MD!$C$6:$K$54,3,0)</f>
        <v>SA</v>
      </c>
      <c r="K27" s="197">
        <v>1</v>
      </c>
      <c r="L27" s="180">
        <f>21+14</f>
        <v>35</v>
      </c>
      <c r="M27" s="180">
        <f>12+21</f>
        <v>33</v>
      </c>
      <c r="N27" s="180">
        <v>1</v>
      </c>
      <c r="O27" s="198" t="s">
        <v>431</v>
      </c>
    </row>
    <row r="28" spans="1:20" ht="18.75">
      <c r="A28" s="200" t="e">
        <f>IF(#REF!&lt;&gt;#REF!,#REF!,"")</f>
        <v>#REF!</v>
      </c>
      <c r="B28" s="190">
        <v>23</v>
      </c>
      <c r="C28" s="191" t="s">
        <v>404</v>
      </c>
      <c r="D28" s="192">
        <v>23</v>
      </c>
      <c r="E28" s="193" t="s">
        <v>77</v>
      </c>
      <c r="F28" s="194" t="s">
        <v>405</v>
      </c>
      <c r="G28" s="195" t="s">
        <v>83</v>
      </c>
      <c r="H28" s="180" t="str">
        <f>VLOOKUP(E28,MD!$C$6:$K$54,3,0)</f>
        <v>2R</v>
      </c>
      <c r="I28" s="196" t="s">
        <v>405</v>
      </c>
      <c r="J28" s="180" t="str">
        <f>VLOOKUP(G28,MD!$C$6:$K$54,3,0)</f>
        <v xml:space="preserve">ALPS - WL </v>
      </c>
      <c r="K28" s="197">
        <v>1</v>
      </c>
      <c r="L28" s="180">
        <f>21+16</f>
        <v>37</v>
      </c>
      <c r="M28" s="180">
        <f>17+21</f>
        <v>38</v>
      </c>
      <c r="N28" s="180">
        <v>1</v>
      </c>
      <c r="O28" s="198" t="s">
        <v>432</v>
      </c>
    </row>
    <row r="29" spans="1:20" ht="18.75">
      <c r="A29" s="200" t="e">
        <f>IF(#REF!&lt;&gt;#REF!,#REF!,"")</f>
        <v>#REF!</v>
      </c>
      <c r="B29" s="201">
        <v>24</v>
      </c>
      <c r="C29" s="191" t="s">
        <v>404</v>
      </c>
      <c r="D29" s="192">
        <v>24</v>
      </c>
      <c r="E29" s="202" t="s">
        <v>71</v>
      </c>
      <c r="F29" s="203" t="s">
        <v>405</v>
      </c>
      <c r="G29" s="204" t="s">
        <v>89</v>
      </c>
      <c r="H29" s="180" t="str">
        <f>VLOOKUP(E29,MD!$C$6:$K$54,3,0)</f>
        <v>SCAA LM</v>
      </c>
      <c r="I29" s="196" t="s">
        <v>405</v>
      </c>
      <c r="J29" s="180" t="str">
        <f>VLOOKUP(G29,MD!$C$6:$K$54,3,0)</f>
        <v xml:space="preserve">ALPS YK </v>
      </c>
      <c r="K29" s="197">
        <v>2</v>
      </c>
      <c r="L29" s="180">
        <f>21+22</f>
        <v>43</v>
      </c>
      <c r="M29" s="180">
        <f>15+20</f>
        <v>35</v>
      </c>
      <c r="N29" s="180">
        <v>0</v>
      </c>
      <c r="O29" s="198" t="s">
        <v>433</v>
      </c>
    </row>
    <row r="30" spans="1:20" ht="18.75">
      <c r="A30" s="200" t="e">
        <f>IF(#REF!&lt;&gt;#REF!,#REF!,"")</f>
        <v>#REF!</v>
      </c>
      <c r="B30" s="190">
        <v>25</v>
      </c>
      <c r="C30" s="191" t="s">
        <v>404</v>
      </c>
      <c r="D30" s="192">
        <v>25</v>
      </c>
      <c r="E30" s="193" t="s">
        <v>89</v>
      </c>
      <c r="F30" s="194" t="s">
        <v>405</v>
      </c>
      <c r="G30" s="195" t="s">
        <v>113</v>
      </c>
      <c r="H30" s="180" t="str">
        <f>VLOOKUP(E30,MD!$C$6:$K$54,3,0)</f>
        <v xml:space="preserve">ALPS YK </v>
      </c>
      <c r="I30" s="196" t="s">
        <v>405</v>
      </c>
      <c r="J30" s="180" t="str">
        <f>VLOOKUP(G30,MD!$C$6:$K$54,3,0)</f>
        <v xml:space="preserve">Alps CAUTION </v>
      </c>
      <c r="K30" s="197">
        <v>2</v>
      </c>
      <c r="L30" s="180">
        <v>42</v>
      </c>
      <c r="M30" s="180">
        <v>0</v>
      </c>
      <c r="N30" s="180">
        <v>0</v>
      </c>
      <c r="O30" s="198" t="s">
        <v>434</v>
      </c>
    </row>
    <row r="31" spans="1:20" ht="18.75">
      <c r="A31" s="200" t="e">
        <f>IF(#REF!&lt;&gt;#REF!,#REF!,"")</f>
        <v>#REF!</v>
      </c>
      <c r="B31" s="201">
        <v>26</v>
      </c>
      <c r="C31" s="191" t="s">
        <v>404</v>
      </c>
      <c r="D31" s="192">
        <v>26</v>
      </c>
      <c r="E31" s="193" t="s">
        <v>101</v>
      </c>
      <c r="F31" s="194" t="s">
        <v>405</v>
      </c>
      <c r="G31" s="195" t="s">
        <v>77</v>
      </c>
      <c r="H31" s="180" t="str">
        <f>VLOOKUP(E31,MD!$C$6:$K$54,3,0)</f>
        <v>Alps-Dr. Chan</v>
      </c>
      <c r="I31" s="196" t="s">
        <v>405</v>
      </c>
      <c r="J31" s="180" t="str">
        <f>VLOOKUP(G31,MD!$C$6:$K$54,3,0)</f>
        <v>2R</v>
      </c>
      <c r="K31" s="197">
        <v>2</v>
      </c>
      <c r="L31" s="180">
        <v>42</v>
      </c>
      <c r="M31" s="180">
        <v>0</v>
      </c>
      <c r="N31" s="180">
        <v>0</v>
      </c>
      <c r="O31" s="198" t="s">
        <v>435</v>
      </c>
    </row>
    <row r="32" spans="1:20" ht="18.75">
      <c r="A32" s="200" t="e">
        <f>IF(#REF!&lt;&gt;#REF!,#REF!,"")</f>
        <v>#REF!</v>
      </c>
      <c r="B32" s="190">
        <v>27</v>
      </c>
      <c r="C32" s="191" t="s">
        <v>404</v>
      </c>
      <c r="D32" s="192">
        <v>27</v>
      </c>
      <c r="E32" s="193" t="s">
        <v>107</v>
      </c>
      <c r="F32" s="194" t="s">
        <v>405</v>
      </c>
      <c r="G32" s="195" t="s">
        <v>71</v>
      </c>
      <c r="H32" s="180" t="str">
        <f>VLOOKUP(E32,MD!$C$6:$K$54,3,0)</f>
        <v>SA</v>
      </c>
      <c r="I32" s="196" t="s">
        <v>405</v>
      </c>
      <c r="J32" s="180" t="str">
        <f>VLOOKUP(G32,MD!$C$6:$K$54,3,0)</f>
        <v>SCAA LM</v>
      </c>
      <c r="K32" s="197">
        <v>0</v>
      </c>
      <c r="L32" s="180">
        <v>0</v>
      </c>
      <c r="M32" s="180">
        <v>42</v>
      </c>
      <c r="N32" s="180">
        <v>2</v>
      </c>
      <c r="O32" s="198" t="s">
        <v>436</v>
      </c>
    </row>
    <row r="33" spans="1:15" ht="18.75">
      <c r="A33" s="200" t="e">
        <f>IF(#REF!&lt;&gt;#REF!,#REF!,"")</f>
        <v>#REF!</v>
      </c>
      <c r="B33" s="201">
        <v>28</v>
      </c>
      <c r="C33" s="208" t="s">
        <v>404</v>
      </c>
      <c r="D33" s="209">
        <v>28</v>
      </c>
      <c r="E33" s="202" t="s">
        <v>95</v>
      </c>
      <c r="F33" s="203" t="s">
        <v>405</v>
      </c>
      <c r="G33" s="204" t="s">
        <v>83</v>
      </c>
      <c r="H33" s="180" t="str">
        <f>VLOOKUP(E33,MD!$C$6:$K$54,3,0)</f>
        <v xml:space="preserve">ALPS - T&amp;W </v>
      </c>
      <c r="I33" s="196" t="s">
        <v>405</v>
      </c>
      <c r="J33" s="180" t="str">
        <f>VLOOKUP(G33,MD!$C$6:$K$54,3,0)</f>
        <v xml:space="preserve">ALPS - WL </v>
      </c>
      <c r="K33" s="197">
        <v>0</v>
      </c>
      <c r="L33" s="180">
        <f>19+20</f>
        <v>39</v>
      </c>
      <c r="M33" s="180">
        <f>21+22</f>
        <v>43</v>
      </c>
      <c r="N33" s="180">
        <v>2</v>
      </c>
      <c r="O33" s="198" t="s">
        <v>437</v>
      </c>
    </row>
    <row r="34" spans="1:15" hidden="1">
      <c r="A34" s="200" t="e">
        <f>IF(#REF!&lt;&gt;#REF!,#REF!,"")</f>
        <v>#REF!</v>
      </c>
      <c r="B34" s="190">
        <v>29</v>
      </c>
      <c r="C34" s="210" t="s">
        <v>438</v>
      </c>
      <c r="D34" s="211">
        <v>5</v>
      </c>
      <c r="E34" s="212" t="s">
        <v>239</v>
      </c>
      <c r="F34" s="213" t="s">
        <v>405</v>
      </c>
      <c r="G34" s="214" t="s">
        <v>304</v>
      </c>
      <c r="H34" s="174" t="str">
        <f>VLOOKUP(E34,MD!$C$6:$K$54,3,0)</f>
        <v>爸爸隊</v>
      </c>
      <c r="I34" s="181" t="s">
        <v>405</v>
      </c>
      <c r="J34" s="174" t="str">
        <f>VLOOKUP(G34,MD!$C$6:$K$54,3,0)</f>
        <v xml:space="preserve">Alison volleyball </v>
      </c>
      <c r="K34" s="180"/>
      <c r="L34" s="180"/>
      <c r="M34" s="180"/>
      <c r="N34" s="180"/>
    </row>
    <row r="35" spans="1:15" hidden="1">
      <c r="A35" s="200" t="e">
        <f>IF(#REF!&lt;&gt;#REF!,#REF!,"")</f>
        <v>#REF!</v>
      </c>
      <c r="B35" s="201">
        <v>30</v>
      </c>
      <c r="C35" s="210" t="s">
        <v>438</v>
      </c>
      <c r="D35" s="215">
        <v>6</v>
      </c>
      <c r="E35" s="216" t="s">
        <v>143</v>
      </c>
      <c r="F35" s="217" t="s">
        <v>405</v>
      </c>
      <c r="G35" s="218" t="s">
        <v>185</v>
      </c>
      <c r="H35" s="219" t="str">
        <f>VLOOKUP(E35,MD!$C$6:$K$54,3,0)</f>
        <v>SKTL</v>
      </c>
      <c r="I35" s="219" t="s">
        <v>405</v>
      </c>
      <c r="J35" s="219" t="str">
        <f>VLOOKUP(G35,MD!$C$6:$K$54,3,0)</f>
        <v>夢幻組合</v>
      </c>
      <c r="K35" s="180"/>
      <c r="L35" s="180"/>
      <c r="M35" s="180"/>
      <c r="N35" s="180"/>
    </row>
    <row r="36" spans="1:15" hidden="1">
      <c r="A36" s="200" t="e">
        <f>IF(#REF!&lt;&gt;#REF!,#REF!,"")</f>
        <v>#REF!</v>
      </c>
      <c r="B36" s="190">
        <v>31</v>
      </c>
      <c r="C36" s="220" t="s">
        <v>439</v>
      </c>
      <c r="D36" s="211">
        <v>1</v>
      </c>
      <c r="E36" s="221" t="s">
        <v>149</v>
      </c>
      <c r="F36" s="222" t="s">
        <v>405</v>
      </c>
      <c r="G36" s="223" t="s">
        <v>269</v>
      </c>
      <c r="H36" s="219" t="str">
        <f>VLOOKUP(E36,MD!$C$6:$K$54,3,0)</f>
        <v>SCAA YA</v>
      </c>
      <c r="I36" s="219" t="s">
        <v>405</v>
      </c>
      <c r="J36" s="219" t="str">
        <f>VLOOKUP(G36,MD!$C$6:$K$54,3,0)</f>
        <v>SCAA 99</v>
      </c>
      <c r="K36" s="180"/>
      <c r="L36" s="180"/>
      <c r="M36" s="180"/>
      <c r="N36" s="180"/>
    </row>
    <row r="37" spans="1:15" hidden="1">
      <c r="A37" s="200" t="e">
        <f>IF(#REF!&lt;&gt;#REF!,#REF!,"")</f>
        <v>#REF!</v>
      </c>
      <c r="B37" s="201">
        <v>32</v>
      </c>
      <c r="C37" s="210" t="s">
        <v>439</v>
      </c>
      <c r="D37" s="211">
        <v>2</v>
      </c>
      <c r="E37" s="212" t="s">
        <v>179</v>
      </c>
      <c r="F37" s="213" t="s">
        <v>405</v>
      </c>
      <c r="G37" s="214" t="s">
        <v>244</v>
      </c>
      <c r="H37" s="219" t="str">
        <f>VLOOKUP(E37,MD!$C$6:$K$54,3,0)</f>
        <v>撈碧鵰</v>
      </c>
      <c r="I37" s="219" t="s">
        <v>405</v>
      </c>
      <c r="J37" s="219">
        <f>VLOOKUP(G37,MD!$C$6:$K$54,3,0)</f>
        <v>1987.5</v>
      </c>
      <c r="K37" s="180"/>
      <c r="L37" s="180"/>
      <c r="M37" s="180"/>
      <c r="N37" s="180"/>
    </row>
    <row r="38" spans="1:15" hidden="1">
      <c r="A38" s="200" t="e">
        <f>IF(#REF!&lt;&gt;#REF!,#REF!,"")</f>
        <v>#REF!</v>
      </c>
      <c r="B38" s="190">
        <v>33</v>
      </c>
      <c r="C38" s="210" t="s">
        <v>439</v>
      </c>
      <c r="D38" s="211">
        <v>3</v>
      </c>
      <c r="E38" s="212" t="s">
        <v>149</v>
      </c>
      <c r="F38" s="213" t="s">
        <v>405</v>
      </c>
      <c r="G38" s="214" t="s">
        <v>244</v>
      </c>
      <c r="H38" s="219" t="str">
        <f>VLOOKUP(E38,MD!$C$6:$K$54,3,0)</f>
        <v>SCAA YA</v>
      </c>
      <c r="I38" s="219" t="s">
        <v>405</v>
      </c>
      <c r="J38" s="219">
        <f>VLOOKUP(G38,MD!$C$6:$K$54,3,0)</f>
        <v>1987.5</v>
      </c>
      <c r="K38" s="180"/>
      <c r="L38" s="180"/>
      <c r="M38" s="180"/>
      <c r="N38" s="180"/>
    </row>
    <row r="39" spans="1:15" hidden="1">
      <c r="A39" s="200" t="e">
        <f>IF(#REF!&lt;&gt;#REF!,#REF!,"")</f>
        <v>#REF!</v>
      </c>
      <c r="B39" s="201">
        <v>34</v>
      </c>
      <c r="C39" s="210" t="s">
        <v>439</v>
      </c>
      <c r="D39" s="211">
        <v>4</v>
      </c>
      <c r="E39" s="212" t="s">
        <v>179</v>
      </c>
      <c r="F39" s="213" t="s">
        <v>405</v>
      </c>
      <c r="G39" s="214" t="s">
        <v>269</v>
      </c>
      <c r="H39" s="219" t="str">
        <f>VLOOKUP(E39,MD!$C$6:$K$54,3,0)</f>
        <v>撈碧鵰</v>
      </c>
      <c r="I39" s="219" t="s">
        <v>405</v>
      </c>
      <c r="J39" s="219" t="str">
        <f>VLOOKUP(G39,MD!$C$6:$K$54,3,0)</f>
        <v>SCAA 99</v>
      </c>
      <c r="K39" s="180"/>
      <c r="L39" s="180"/>
      <c r="M39" s="180"/>
      <c r="N39" s="180"/>
    </row>
    <row r="40" spans="1:15" hidden="1">
      <c r="A40" s="200" t="e">
        <f>IF(#REF!&lt;&gt;#REF!,#REF!,"")</f>
        <v>#REF!</v>
      </c>
      <c r="B40" s="190">
        <v>35</v>
      </c>
      <c r="C40" s="210" t="s">
        <v>439</v>
      </c>
      <c r="D40" s="211">
        <v>5</v>
      </c>
      <c r="E40" s="212" t="s">
        <v>244</v>
      </c>
      <c r="F40" s="213" t="s">
        <v>405</v>
      </c>
      <c r="G40" s="214" t="s">
        <v>269</v>
      </c>
      <c r="H40" s="219">
        <f>VLOOKUP(E40,MD!$C$6:$K$54,3,0)</f>
        <v>1987.5</v>
      </c>
      <c r="I40" s="219" t="s">
        <v>405</v>
      </c>
      <c r="J40" s="219" t="str">
        <f>VLOOKUP(G40,MD!$C$6:$K$54,3,0)</f>
        <v>SCAA 99</v>
      </c>
      <c r="K40" s="180"/>
      <c r="L40" s="180"/>
      <c r="M40" s="180"/>
      <c r="N40" s="180"/>
    </row>
    <row r="41" spans="1:15" hidden="1">
      <c r="A41" s="200" t="e">
        <f>IF(#REF!&lt;&gt;#REF!,#REF!,"")</f>
        <v>#REF!</v>
      </c>
      <c r="B41" s="201">
        <v>36</v>
      </c>
      <c r="C41" s="224" t="s">
        <v>439</v>
      </c>
      <c r="D41" s="215">
        <v>6</v>
      </c>
      <c r="E41" s="216" t="s">
        <v>149</v>
      </c>
      <c r="F41" s="217" t="s">
        <v>405</v>
      </c>
      <c r="G41" s="218" t="s">
        <v>179</v>
      </c>
      <c r="H41" s="219" t="str">
        <f>VLOOKUP(E41,MD!$C$6:$K$54,3,0)</f>
        <v>SCAA YA</v>
      </c>
      <c r="I41" s="219" t="s">
        <v>405</v>
      </c>
      <c r="J41" s="219" t="str">
        <f>VLOOKUP(G41,MD!$C$6:$K$54,3,0)</f>
        <v>撈碧鵰</v>
      </c>
      <c r="K41" s="180"/>
      <c r="L41" s="180"/>
      <c r="M41" s="180"/>
      <c r="N41" s="180"/>
    </row>
    <row r="42" spans="1:15" hidden="1">
      <c r="A42" s="200" t="e">
        <f>IF(#REF!&lt;&gt;#REF!,#REF!,"")</f>
        <v>#REF!</v>
      </c>
      <c r="B42" s="190">
        <v>37</v>
      </c>
      <c r="C42" s="225" t="s">
        <v>440</v>
      </c>
      <c r="D42" s="211">
        <v>1</v>
      </c>
      <c r="E42" s="221" t="s">
        <v>155</v>
      </c>
      <c r="F42" s="222" t="s">
        <v>405</v>
      </c>
      <c r="G42" s="223" t="s">
        <v>286</v>
      </c>
      <c r="H42" s="219" t="str">
        <f>VLOOKUP(E42,MD!$C$6:$K$54,3,0)</f>
        <v>Zlatan</v>
      </c>
      <c r="I42" s="219" t="s">
        <v>405</v>
      </c>
      <c r="J42" s="219" t="str">
        <f>VLOOKUP(G42,MD!$C$6:$K$54,3,0)</f>
        <v>SCAA x CSUN</v>
      </c>
      <c r="K42" s="180"/>
      <c r="L42" s="180"/>
      <c r="M42" s="180"/>
      <c r="N42" s="180"/>
    </row>
    <row r="43" spans="1:15" hidden="1">
      <c r="A43" s="200" t="e">
        <f>IF(#REF!&lt;&gt;#REF!,#REF!,"")</f>
        <v>#REF!</v>
      </c>
      <c r="B43" s="201">
        <v>38</v>
      </c>
      <c r="C43" s="225" t="s">
        <v>440</v>
      </c>
      <c r="D43" s="211">
        <v>2</v>
      </c>
      <c r="E43" s="212" t="s">
        <v>173</v>
      </c>
      <c r="F43" s="213" t="s">
        <v>405</v>
      </c>
      <c r="G43" s="214" t="s">
        <v>250</v>
      </c>
      <c r="H43" s="219" t="str">
        <f>VLOOKUP(E43,MD!$C$6:$K$54,3,0)</f>
        <v>紅藍</v>
      </c>
      <c r="I43" s="219" t="s">
        <v>405</v>
      </c>
      <c r="J43" s="219" t="str">
        <f>VLOOKUP(G43,MD!$C$6:$K$54,3,0)</f>
        <v>企拍</v>
      </c>
      <c r="K43" s="180"/>
      <c r="L43" s="180"/>
      <c r="M43" s="180"/>
      <c r="N43" s="180"/>
    </row>
    <row r="44" spans="1:15" hidden="1">
      <c r="A44" s="200" t="e">
        <f>IF(#REF!&lt;&gt;#REF!,#REF!,"")</f>
        <v>#REF!</v>
      </c>
      <c r="B44" s="190">
        <v>39</v>
      </c>
      <c r="C44" s="225" t="s">
        <v>440</v>
      </c>
      <c r="D44" s="211">
        <v>3</v>
      </c>
      <c r="E44" s="212" t="s">
        <v>155</v>
      </c>
      <c r="F44" s="213" t="s">
        <v>405</v>
      </c>
      <c r="G44" s="214" t="s">
        <v>250</v>
      </c>
      <c r="H44" s="219" t="str">
        <f>VLOOKUP(E44,MD!$C$6:$K$54,3,0)</f>
        <v>Zlatan</v>
      </c>
      <c r="I44" s="219" t="s">
        <v>405</v>
      </c>
      <c r="J44" s="219" t="str">
        <f>VLOOKUP(G44,MD!$C$6:$K$54,3,0)</f>
        <v>企拍</v>
      </c>
      <c r="K44" s="180"/>
      <c r="L44" s="180"/>
      <c r="M44" s="180"/>
      <c r="N44" s="180"/>
    </row>
    <row r="45" spans="1:15" hidden="1">
      <c r="A45" s="200" t="e">
        <f>IF(#REF!&lt;&gt;#REF!,#REF!,"")</f>
        <v>#REF!</v>
      </c>
      <c r="B45" s="201">
        <v>40</v>
      </c>
      <c r="C45" s="225" t="s">
        <v>440</v>
      </c>
      <c r="D45" s="211">
        <v>4</v>
      </c>
      <c r="E45" s="212" t="s">
        <v>173</v>
      </c>
      <c r="F45" s="213" t="s">
        <v>405</v>
      </c>
      <c r="G45" s="214" t="s">
        <v>286</v>
      </c>
      <c r="H45" s="219" t="str">
        <f>VLOOKUP(E45,MD!$C$6:$K$54,3,0)</f>
        <v>紅藍</v>
      </c>
      <c r="I45" s="219" t="s">
        <v>405</v>
      </c>
      <c r="J45" s="219" t="str">
        <f>VLOOKUP(G45,MD!$C$6:$K$54,3,0)</f>
        <v>SCAA x CSUN</v>
      </c>
      <c r="K45" s="180"/>
      <c r="L45" s="180"/>
      <c r="M45" s="180"/>
      <c r="N45" s="180"/>
    </row>
    <row r="46" spans="1:15" hidden="1">
      <c r="B46" s="190">
        <v>41</v>
      </c>
      <c r="C46" s="225" t="s">
        <v>440</v>
      </c>
      <c r="D46" s="211">
        <v>5</v>
      </c>
      <c r="E46" s="212" t="s">
        <v>250</v>
      </c>
      <c r="F46" s="213" t="s">
        <v>405</v>
      </c>
      <c r="G46" s="214" t="s">
        <v>286</v>
      </c>
      <c r="H46" s="219" t="str">
        <f>VLOOKUP(E46,MD!$C$6:$K$54,3,0)</f>
        <v>企拍</v>
      </c>
      <c r="I46" s="219" t="s">
        <v>405</v>
      </c>
      <c r="J46" s="219" t="str">
        <f>VLOOKUP(G46,MD!$C$6:$K$54,3,0)</f>
        <v>SCAA x CSUN</v>
      </c>
      <c r="K46" s="180"/>
      <c r="L46" s="180"/>
      <c r="M46" s="180"/>
      <c r="N46" s="180"/>
    </row>
    <row r="47" spans="1:15" hidden="1">
      <c r="B47" s="201">
        <v>42</v>
      </c>
      <c r="C47" s="224" t="s">
        <v>440</v>
      </c>
      <c r="D47" s="215">
        <v>6</v>
      </c>
      <c r="E47" s="216" t="s">
        <v>155</v>
      </c>
      <c r="F47" s="217" t="s">
        <v>405</v>
      </c>
      <c r="G47" s="218" t="s">
        <v>173</v>
      </c>
      <c r="H47" s="219" t="str">
        <f>VLOOKUP(E47,MD!$C$6:$K$54,3,0)</f>
        <v>Zlatan</v>
      </c>
      <c r="I47" s="219" t="s">
        <v>405</v>
      </c>
      <c r="J47" s="219" t="str">
        <f>VLOOKUP(G47,MD!$C$6:$K$54,3,0)</f>
        <v>紅藍</v>
      </c>
      <c r="K47" s="180"/>
      <c r="L47" s="180"/>
      <c r="M47" s="180"/>
      <c r="N47" s="180"/>
    </row>
    <row r="48" spans="1:15" hidden="1">
      <c r="B48" s="190">
        <v>43</v>
      </c>
      <c r="C48" s="225" t="s">
        <v>441</v>
      </c>
      <c r="D48" s="211">
        <v>1</v>
      </c>
      <c r="E48" s="212" t="s">
        <v>161</v>
      </c>
      <c r="F48" s="213" t="s">
        <v>405</v>
      </c>
      <c r="G48" s="214" t="s">
        <v>262</v>
      </c>
      <c r="H48" s="219" t="str">
        <f>VLOOKUP(E48,MD!$C$6:$K$54,3,0)</f>
        <v>ALPS_我要買GTR</v>
      </c>
      <c r="I48" s="219" t="s">
        <v>405</v>
      </c>
      <c r="J48" s="219" t="str">
        <f>VLOOKUP(G48,MD!$C$6:$K$54,3,0)</f>
        <v>ALPS - 平均米九</v>
      </c>
      <c r="K48" s="180"/>
      <c r="L48" s="180"/>
      <c r="M48" s="180"/>
      <c r="N48" s="180"/>
    </row>
    <row r="49" spans="2:14" hidden="1">
      <c r="B49" s="201">
        <v>44</v>
      </c>
      <c r="C49" s="225" t="s">
        <v>441</v>
      </c>
      <c r="D49" s="211">
        <v>2</v>
      </c>
      <c r="E49" s="212" t="s">
        <v>167</v>
      </c>
      <c r="F49" s="213" t="s">
        <v>405</v>
      </c>
      <c r="G49" s="214" t="s">
        <v>256</v>
      </c>
      <c r="H49" s="219" t="str">
        <f>VLOOKUP(E49,MD!$C$6:$K$54,3,0)</f>
        <v>FS</v>
      </c>
      <c r="I49" s="219" t="s">
        <v>405</v>
      </c>
      <c r="J49" s="219" t="str">
        <f>VLOOKUP(G49,MD!$C$6:$K$54,3,0)</f>
        <v>LSC</v>
      </c>
      <c r="K49" s="180"/>
      <c r="L49" s="180"/>
      <c r="M49" s="180"/>
      <c r="N49" s="180"/>
    </row>
    <row r="50" spans="2:14" hidden="1">
      <c r="B50" s="190">
        <v>45</v>
      </c>
      <c r="C50" s="225" t="s">
        <v>441</v>
      </c>
      <c r="D50" s="211">
        <v>3</v>
      </c>
      <c r="E50" s="212" t="s">
        <v>161</v>
      </c>
      <c r="F50" s="213" t="s">
        <v>405</v>
      </c>
      <c r="G50" s="214" t="s">
        <v>256</v>
      </c>
      <c r="H50" s="219" t="str">
        <f>VLOOKUP(E50,MD!$C$6:$K$54,3,0)</f>
        <v>ALPS_我要買GTR</v>
      </c>
      <c r="I50" s="219" t="s">
        <v>405</v>
      </c>
      <c r="J50" s="219" t="str">
        <f>VLOOKUP(G50,MD!$C$6:$K$54,3,0)</f>
        <v>LSC</v>
      </c>
      <c r="K50" s="180"/>
      <c r="L50" s="180"/>
      <c r="M50" s="180"/>
      <c r="N50" s="180"/>
    </row>
    <row r="51" spans="2:14" hidden="1">
      <c r="B51" s="201">
        <v>46</v>
      </c>
      <c r="C51" s="225" t="s">
        <v>441</v>
      </c>
      <c r="D51" s="211">
        <v>4</v>
      </c>
      <c r="E51" s="212" t="s">
        <v>167</v>
      </c>
      <c r="F51" s="213" t="s">
        <v>405</v>
      </c>
      <c r="G51" s="214" t="s">
        <v>262</v>
      </c>
      <c r="H51" s="219" t="str">
        <f>VLOOKUP(E51,MD!$C$6:$K$54,3,0)</f>
        <v>FS</v>
      </c>
      <c r="I51" s="219" t="s">
        <v>405</v>
      </c>
      <c r="J51" s="219" t="str">
        <f>VLOOKUP(G51,MD!$C$6:$K$54,3,0)</f>
        <v>ALPS - 平均米九</v>
      </c>
      <c r="K51" s="180"/>
      <c r="L51" s="180"/>
      <c r="M51" s="180"/>
      <c r="N51" s="180"/>
    </row>
    <row r="52" spans="2:14" hidden="1">
      <c r="B52" s="190">
        <v>47</v>
      </c>
      <c r="C52" s="225" t="s">
        <v>441</v>
      </c>
      <c r="D52" s="211">
        <v>5</v>
      </c>
      <c r="E52" s="212" t="s">
        <v>256</v>
      </c>
      <c r="F52" s="213" t="s">
        <v>405</v>
      </c>
      <c r="G52" s="214" t="s">
        <v>262</v>
      </c>
      <c r="H52" s="219" t="str">
        <f>VLOOKUP(E52,MD!$C$6:$K$54,3,0)</f>
        <v>LSC</v>
      </c>
      <c r="I52" s="219" t="s">
        <v>405</v>
      </c>
      <c r="J52" s="219" t="str">
        <f>VLOOKUP(G52,MD!$C$6:$K$54,3,0)</f>
        <v>ALPS - 平均米九</v>
      </c>
      <c r="K52" s="180"/>
      <c r="L52" s="180"/>
      <c r="M52" s="180"/>
      <c r="N52" s="180"/>
    </row>
    <row r="53" spans="2:14" hidden="1">
      <c r="B53" s="201">
        <v>48</v>
      </c>
      <c r="C53" s="226" t="s">
        <v>441</v>
      </c>
      <c r="D53" s="215">
        <v>6</v>
      </c>
      <c r="E53" s="216" t="s">
        <v>161</v>
      </c>
      <c r="F53" s="217" t="s">
        <v>405</v>
      </c>
      <c r="G53" s="218" t="s">
        <v>167</v>
      </c>
      <c r="H53" s="219" t="str">
        <f>VLOOKUP(E53,MD!$C$6:$K$54,3,0)</f>
        <v>ALPS_我要買GTR</v>
      </c>
      <c r="I53" s="227" t="s">
        <v>405</v>
      </c>
      <c r="J53" s="219" t="str">
        <f>VLOOKUP(G53,MD!$C$6:$K$54,3,0)</f>
        <v>FS</v>
      </c>
      <c r="K53" s="180"/>
      <c r="L53" s="180"/>
      <c r="M53" s="180"/>
      <c r="N53" s="180"/>
    </row>
    <row r="54" spans="2:14" hidden="1">
      <c r="B54" s="228"/>
      <c r="C54" s="228"/>
      <c r="D54" s="228"/>
      <c r="E54" s="228"/>
      <c r="F54" s="228"/>
      <c r="G54" s="228"/>
      <c r="H54" s="174" t="e">
        <f>VLOOKUP(E54,#REF!,3,0)</f>
        <v>#REF!</v>
      </c>
    </row>
  </sheetData>
  <phoneticPr fontId="118" type="noConversion"/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114"/>
  <sheetViews>
    <sheetView topLeftCell="A32" zoomScale="70" zoomScaleNormal="70" workbookViewId="0">
      <selection activeCell="I48" sqref="I48"/>
    </sheetView>
  </sheetViews>
  <sheetFormatPr defaultRowHeight="17.25"/>
  <cols>
    <col min="1" max="1" width="3.33203125" style="121" customWidth="1"/>
    <col min="2" max="2" width="22" style="229" customWidth="1"/>
    <col min="3" max="3" width="11" style="121" customWidth="1"/>
    <col min="4" max="4" width="16.109375" style="129" customWidth="1"/>
    <col min="5" max="5" width="10.6640625" style="121" customWidth="1"/>
    <col min="6" max="6" width="16" style="129" customWidth="1"/>
    <col min="7" max="7" width="10.6640625" style="121" customWidth="1"/>
    <col min="8" max="8" width="10.6640625" style="229" customWidth="1"/>
    <col min="9" max="9" width="14.109375" style="121" customWidth="1"/>
    <col min="10" max="10" width="11" style="229" customWidth="1"/>
    <col min="11" max="15" width="11" style="121" customWidth="1"/>
    <col min="16" max="16" width="11.6640625" style="121" customWidth="1"/>
    <col min="17" max="1025" width="7.6640625" style="121" customWidth="1"/>
  </cols>
  <sheetData>
    <row r="1" spans="2:18">
      <c r="B1" s="230" t="s">
        <v>442</v>
      </c>
      <c r="C1" s="123"/>
      <c r="D1" s="231"/>
      <c r="E1" s="124"/>
    </row>
    <row r="2" spans="2:18">
      <c r="B2" s="230"/>
      <c r="C2" s="123"/>
      <c r="D2" s="231"/>
      <c r="E2" s="124"/>
    </row>
    <row r="3" spans="2:18">
      <c r="B3" s="230" t="s">
        <v>358</v>
      </c>
      <c r="C3" s="123"/>
      <c r="D3" s="231"/>
      <c r="E3" s="124"/>
    </row>
    <row r="4" spans="2:18">
      <c r="B4" s="230" t="s">
        <v>359</v>
      </c>
      <c r="C4" s="123"/>
      <c r="D4" s="231"/>
      <c r="E4" s="124"/>
    </row>
    <row r="5" spans="2:18">
      <c r="B5" s="232" t="s">
        <v>443</v>
      </c>
      <c r="C5" s="233"/>
      <c r="D5" s="234"/>
      <c r="E5" s="235"/>
      <c r="F5" s="236"/>
      <c r="G5" s="237"/>
      <c r="H5" s="238"/>
      <c r="I5" s="237"/>
    </row>
    <row r="6" spans="2:18">
      <c r="B6" s="232"/>
      <c r="C6" s="233"/>
      <c r="D6" s="234"/>
      <c r="E6" s="235"/>
      <c r="F6" s="236"/>
      <c r="G6" s="237"/>
      <c r="H6" s="238"/>
      <c r="I6" s="237"/>
    </row>
    <row r="7" spans="2:18">
      <c r="B7" s="239"/>
      <c r="C7" s="240" t="s">
        <v>404</v>
      </c>
      <c r="D7" s="240" t="s">
        <v>444</v>
      </c>
      <c r="E7" s="240" t="s">
        <v>445</v>
      </c>
      <c r="F7" s="240" t="s">
        <v>446</v>
      </c>
      <c r="G7" s="240" t="s">
        <v>438</v>
      </c>
      <c r="H7" s="241" t="s">
        <v>439</v>
      </c>
      <c r="I7" s="240" t="s">
        <v>440</v>
      </c>
      <c r="J7" s="241" t="s">
        <v>441</v>
      </c>
      <c r="K7" s="129"/>
      <c r="P7" s="129"/>
      <c r="Q7" s="129"/>
      <c r="R7" s="129"/>
    </row>
    <row r="8" spans="2:18">
      <c r="B8" s="242"/>
      <c r="C8" s="243" t="s">
        <v>447</v>
      </c>
      <c r="D8" s="243" t="s">
        <v>448</v>
      </c>
      <c r="E8" s="243" t="s">
        <v>449</v>
      </c>
      <c r="F8" s="243" t="s">
        <v>450</v>
      </c>
      <c r="G8" s="243" t="s">
        <v>451</v>
      </c>
      <c r="H8" s="244" t="s">
        <v>452</v>
      </c>
      <c r="I8" s="243" t="s">
        <v>453</v>
      </c>
      <c r="J8" s="244" t="s">
        <v>454</v>
      </c>
    </row>
    <row r="9" spans="2:18">
      <c r="B9" s="242"/>
      <c r="C9" s="243" t="s">
        <v>455</v>
      </c>
      <c r="D9" s="243" t="s">
        <v>456</v>
      </c>
      <c r="E9" s="243" t="s">
        <v>457</v>
      </c>
      <c r="F9" s="243" t="s">
        <v>458</v>
      </c>
      <c r="G9" s="243" t="s">
        <v>459</v>
      </c>
      <c r="H9" s="244" t="s">
        <v>460</v>
      </c>
      <c r="I9" s="243" t="s">
        <v>461</v>
      </c>
      <c r="J9" s="244" t="s">
        <v>462</v>
      </c>
    </row>
    <row r="10" spans="2:18">
      <c r="B10" s="242"/>
      <c r="C10" s="243" t="s">
        <v>463</v>
      </c>
      <c r="D10" s="243" t="s">
        <v>464</v>
      </c>
      <c r="E10" s="243" t="s">
        <v>465</v>
      </c>
      <c r="F10" s="243" t="s">
        <v>466</v>
      </c>
      <c r="G10" s="243" t="s">
        <v>467</v>
      </c>
      <c r="H10" s="244" t="s">
        <v>468</v>
      </c>
      <c r="I10" s="243" t="s">
        <v>469</v>
      </c>
      <c r="J10" s="244" t="s">
        <v>470</v>
      </c>
    </row>
    <row r="11" spans="2:18">
      <c r="B11" s="242"/>
      <c r="C11" s="243" t="s">
        <v>277</v>
      </c>
      <c r="D11" s="243" t="s">
        <v>281</v>
      </c>
      <c r="E11" s="243" t="s">
        <v>300</v>
      </c>
      <c r="F11" s="243" t="s">
        <v>273</v>
      </c>
      <c r="G11" s="243" t="s">
        <v>471</v>
      </c>
      <c r="H11" s="244" t="s">
        <v>472</v>
      </c>
      <c r="I11" s="243" t="s">
        <v>473</v>
      </c>
      <c r="J11" s="244" t="s">
        <v>474</v>
      </c>
    </row>
    <row r="12" spans="2:18">
      <c r="C12" s="129"/>
      <c r="E12" s="129"/>
      <c r="G12" s="129"/>
      <c r="I12" s="129"/>
    </row>
    <row r="13" spans="2:18">
      <c r="B13" s="238"/>
      <c r="D13" s="121"/>
    </row>
    <row r="14" spans="2:18">
      <c r="B14" s="245" t="s">
        <v>475</v>
      </c>
      <c r="C14" s="237"/>
      <c r="D14" s="236"/>
      <c r="E14" s="237"/>
      <c r="F14" s="236"/>
      <c r="G14" s="237"/>
    </row>
    <row r="15" spans="2:18">
      <c r="B15" s="246" t="s">
        <v>476</v>
      </c>
      <c r="C15" s="237"/>
      <c r="D15" s="236"/>
      <c r="E15" s="237"/>
      <c r="F15" s="236"/>
      <c r="G15" s="237"/>
    </row>
    <row r="16" spans="2:18">
      <c r="B16" s="232"/>
      <c r="C16" s="237"/>
      <c r="D16" s="236"/>
      <c r="E16" s="237"/>
      <c r="F16" s="236"/>
      <c r="G16" s="237"/>
    </row>
    <row r="17" spans="2:15">
      <c r="B17" s="247" t="s">
        <v>477</v>
      </c>
      <c r="D17" s="121"/>
    </row>
    <row r="18" spans="2:15">
      <c r="D18" s="121"/>
    </row>
    <row r="19" spans="2:15">
      <c r="B19" s="248" t="str">
        <f>男乙賽程!R7</f>
        <v>Alps LC</v>
      </c>
      <c r="C19" s="249" t="s">
        <v>119</v>
      </c>
      <c r="D19" s="121"/>
    </row>
    <row r="20" spans="2:15">
      <c r="C20" s="250" t="s">
        <v>478</v>
      </c>
      <c r="D20" s="144"/>
    </row>
    <row r="21" spans="2:15" ht="18">
      <c r="C21" s="251" t="s">
        <v>479</v>
      </c>
      <c r="D21" s="252" t="str">
        <f>B19</f>
        <v>Alps LC</v>
      </c>
      <c r="E21" s="253"/>
      <c r="F21" s="254"/>
      <c r="G21" s="255"/>
      <c r="H21" s="254"/>
      <c r="I21" s="255"/>
      <c r="L21" s="256"/>
    </row>
    <row r="22" spans="2:15" ht="18">
      <c r="B22" s="248" t="str">
        <f>B71</f>
        <v>Ben &amp; Eoach</v>
      </c>
      <c r="C22" s="257"/>
      <c r="D22" s="250"/>
      <c r="E22" s="258"/>
      <c r="F22" s="254"/>
      <c r="G22" s="255"/>
      <c r="H22" s="254"/>
      <c r="I22" s="255"/>
      <c r="M22" s="253"/>
      <c r="N22" s="253"/>
      <c r="O22" s="255"/>
    </row>
    <row r="23" spans="2:15">
      <c r="D23" s="250" t="s">
        <v>480</v>
      </c>
      <c r="E23" s="255"/>
      <c r="F23" s="259" t="str">
        <f>D21</f>
        <v>Alps LC</v>
      </c>
      <c r="G23" s="255"/>
      <c r="H23" s="254"/>
      <c r="I23" s="255"/>
      <c r="M23" s="253"/>
      <c r="N23" s="253"/>
      <c r="O23" s="255"/>
    </row>
    <row r="24" spans="2:15" ht="18">
      <c r="B24" s="260"/>
      <c r="D24" s="261" t="s">
        <v>481</v>
      </c>
      <c r="E24" s="255"/>
      <c r="F24" s="262"/>
      <c r="G24" s="255"/>
      <c r="H24" s="254"/>
      <c r="I24" s="255"/>
      <c r="M24" s="256"/>
      <c r="N24" s="255"/>
      <c r="O24" s="255"/>
    </row>
    <row r="25" spans="2:15" ht="18">
      <c r="B25" s="248">
        <f>B74</f>
        <v>1987.5</v>
      </c>
      <c r="C25" s="249"/>
      <c r="D25" s="263"/>
      <c r="E25" s="253"/>
      <c r="F25" s="262"/>
      <c r="G25" s="264"/>
      <c r="H25" s="254"/>
      <c r="I25" s="255"/>
      <c r="M25" s="256"/>
      <c r="N25" s="255"/>
      <c r="O25" s="255"/>
    </row>
    <row r="26" spans="2:15" ht="18">
      <c r="B26" s="265"/>
      <c r="C26" s="250" t="s">
        <v>482</v>
      </c>
      <c r="D26" s="266">
        <f>B25</f>
        <v>1987.5</v>
      </c>
      <c r="E26" s="267"/>
      <c r="F26" s="262"/>
      <c r="G26" s="264"/>
      <c r="H26" s="254"/>
      <c r="I26" s="255"/>
      <c r="M26" s="253"/>
      <c r="N26" s="253"/>
      <c r="O26" s="255"/>
    </row>
    <row r="27" spans="2:15" ht="18">
      <c r="C27" s="261" t="s">
        <v>483</v>
      </c>
      <c r="D27" s="253"/>
      <c r="E27" s="253"/>
      <c r="F27" s="262"/>
      <c r="G27" s="264"/>
      <c r="H27" s="254"/>
      <c r="I27" s="255"/>
      <c r="L27" s="256"/>
      <c r="M27" s="253"/>
      <c r="N27" s="267"/>
      <c r="O27" s="255"/>
    </row>
    <row r="28" spans="2:15" ht="18">
      <c r="B28" s="248" t="str">
        <f>男乙賽程!Y25</f>
        <v>ALPS-平均米九</v>
      </c>
      <c r="C28" s="268" t="s">
        <v>161</v>
      </c>
      <c r="D28" s="253"/>
      <c r="E28" s="256"/>
      <c r="F28" s="250" t="s">
        <v>484</v>
      </c>
      <c r="G28" s="256"/>
      <c r="H28" s="254"/>
      <c r="I28" s="255"/>
      <c r="M28" s="253"/>
      <c r="N28" s="253"/>
      <c r="O28" s="255"/>
    </row>
    <row r="29" spans="2:15" ht="18">
      <c r="D29" s="253"/>
      <c r="E29" s="253"/>
      <c r="F29" s="261" t="s">
        <v>485</v>
      </c>
      <c r="M29" s="253"/>
      <c r="N29" s="256"/>
      <c r="O29" s="256"/>
    </row>
    <row r="30" spans="2:15" ht="18">
      <c r="B30" s="260"/>
      <c r="C30" s="159"/>
      <c r="D30" s="253"/>
      <c r="E30" s="253"/>
      <c r="F30" s="262"/>
      <c r="M30" s="253"/>
      <c r="N30" s="253"/>
      <c r="O30" s="255"/>
    </row>
    <row r="31" spans="2:15" ht="18">
      <c r="B31" s="269" t="str">
        <f>男乙賽程!R19</f>
        <v>SKTL</v>
      </c>
      <c r="C31" s="249" t="s">
        <v>143</v>
      </c>
      <c r="D31" s="256"/>
      <c r="E31" s="255"/>
      <c r="F31" s="262"/>
      <c r="M31" s="253"/>
      <c r="N31" s="253"/>
      <c r="O31" s="255"/>
    </row>
    <row r="32" spans="2:15">
      <c r="C32" s="250" t="s">
        <v>486</v>
      </c>
      <c r="D32" s="270"/>
      <c r="E32" s="255"/>
      <c r="F32" s="262"/>
      <c r="M32" s="253"/>
      <c r="N32" s="253"/>
      <c r="O32" s="255"/>
    </row>
    <row r="33" spans="2:15" ht="18">
      <c r="C33" s="271" t="s">
        <v>485</v>
      </c>
      <c r="D33" s="272"/>
      <c r="E33" s="253"/>
      <c r="F33" s="262"/>
      <c r="M33" s="256"/>
      <c r="N33" s="255"/>
      <c r="O33" s="255"/>
    </row>
    <row r="34" spans="2:15" ht="18">
      <c r="B34" s="248" t="str">
        <f>B75</f>
        <v>企拍</v>
      </c>
      <c r="C34" s="273"/>
      <c r="D34" s="252" t="str">
        <f>B31</f>
        <v>SKTL</v>
      </c>
      <c r="E34" s="253"/>
      <c r="F34" s="262"/>
      <c r="G34" s="274"/>
      <c r="H34" s="259" t="str">
        <f>F23</f>
        <v>Alps LC</v>
      </c>
      <c r="I34" s="255"/>
      <c r="L34" s="256"/>
      <c r="M34" s="253"/>
      <c r="N34" s="253"/>
      <c r="O34" s="255"/>
    </row>
    <row r="35" spans="2:15">
      <c r="D35" s="250"/>
      <c r="E35" s="275"/>
      <c r="F35" s="259" t="str">
        <f>D34</f>
        <v>SKTL</v>
      </c>
      <c r="G35" s="264"/>
      <c r="H35" s="262"/>
      <c r="I35" s="255"/>
      <c r="M35" s="253"/>
      <c r="N35" s="253"/>
      <c r="O35" s="255"/>
    </row>
    <row r="36" spans="2:15" ht="18">
      <c r="D36" s="250" t="s">
        <v>487</v>
      </c>
      <c r="E36" s="253"/>
      <c r="F36" s="254"/>
      <c r="G36" s="255"/>
      <c r="H36" s="262"/>
      <c r="I36" s="255"/>
      <c r="M36" s="256"/>
      <c r="N36" s="253"/>
      <c r="O36" s="255"/>
    </row>
    <row r="37" spans="2:15">
      <c r="C37" s="135"/>
      <c r="D37" s="276" t="s">
        <v>488</v>
      </c>
      <c r="E37" s="253"/>
      <c r="F37" s="254"/>
      <c r="G37" s="255"/>
      <c r="H37" s="262"/>
      <c r="I37" s="255"/>
      <c r="M37" s="253"/>
      <c r="N37" s="253"/>
      <c r="O37" s="255"/>
    </row>
    <row r="38" spans="2:15">
      <c r="B38" s="248" t="str">
        <f>B70</f>
        <v>SCAA K&amp;L</v>
      </c>
      <c r="C38" s="249"/>
      <c r="D38" s="263"/>
      <c r="E38" s="253"/>
      <c r="F38" s="254"/>
      <c r="G38" s="255"/>
      <c r="H38" s="262"/>
      <c r="I38" s="255"/>
      <c r="M38" s="253"/>
      <c r="N38" s="253"/>
      <c r="O38" s="255"/>
    </row>
    <row r="39" spans="2:15">
      <c r="C39" s="250" t="s">
        <v>489</v>
      </c>
      <c r="D39" s="252" t="str">
        <f>B38</f>
        <v>SCAA K&amp;L</v>
      </c>
      <c r="E39" s="253"/>
      <c r="F39" s="254"/>
      <c r="G39" s="255"/>
      <c r="H39" s="262"/>
      <c r="I39" s="255"/>
      <c r="M39" s="253"/>
      <c r="N39" s="253"/>
      <c r="O39" s="255"/>
    </row>
    <row r="40" spans="2:15" ht="15.75" customHeight="1">
      <c r="C40" s="261" t="s">
        <v>490</v>
      </c>
      <c r="D40" s="253"/>
      <c r="E40" s="253"/>
      <c r="F40" s="254"/>
      <c r="G40" s="255"/>
      <c r="H40" s="262"/>
      <c r="I40" s="255"/>
      <c r="J40" s="260"/>
      <c r="L40" s="256"/>
      <c r="M40" s="253"/>
      <c r="N40" s="253"/>
      <c r="O40" s="255"/>
    </row>
    <row r="41" spans="2:15" ht="15.75" customHeight="1">
      <c r="B41" s="248" t="str">
        <f>男乙賽程!Y13</f>
        <v>我叫你</v>
      </c>
      <c r="C41" s="268" t="s">
        <v>137</v>
      </c>
      <c r="D41" s="256"/>
      <c r="E41" s="255"/>
      <c r="F41" s="254"/>
      <c r="H41" s="262"/>
      <c r="I41" s="277" t="s">
        <v>491</v>
      </c>
      <c r="J41" s="248" t="str">
        <f>H34</f>
        <v>Alps LC</v>
      </c>
      <c r="K41" s="138"/>
      <c r="M41" s="253"/>
      <c r="N41" s="253"/>
      <c r="O41" s="255"/>
    </row>
    <row r="42" spans="2:15" ht="18">
      <c r="D42" s="253"/>
      <c r="E42" s="253"/>
      <c r="F42" s="254"/>
      <c r="H42" s="278" t="s">
        <v>492</v>
      </c>
      <c r="I42" s="279" t="s">
        <v>374</v>
      </c>
      <c r="J42" s="280"/>
      <c r="M42" s="256"/>
      <c r="N42" s="255"/>
      <c r="O42" s="255"/>
    </row>
    <row r="43" spans="2:15" ht="18">
      <c r="C43" s="159"/>
      <c r="D43" s="253"/>
      <c r="E43" s="267"/>
      <c r="F43" s="254"/>
      <c r="G43" s="281"/>
      <c r="H43" s="262"/>
      <c r="I43" s="281"/>
      <c r="M43" s="253"/>
      <c r="N43" s="253"/>
      <c r="O43" s="255"/>
    </row>
    <row r="44" spans="2:15" ht="18">
      <c r="B44" s="248" t="str">
        <f>男乙賽程!R13</f>
        <v>ALPS-handshake</v>
      </c>
      <c r="C44" s="249" t="s">
        <v>131</v>
      </c>
      <c r="D44" s="121"/>
      <c r="G44" s="255"/>
      <c r="H44" s="262"/>
      <c r="I44" s="255"/>
      <c r="M44" s="253"/>
      <c r="N44" s="267"/>
      <c r="O44" s="255"/>
    </row>
    <row r="45" spans="2:15">
      <c r="C45" s="250" t="s">
        <v>493</v>
      </c>
      <c r="D45" s="121"/>
      <c r="G45" s="255"/>
      <c r="H45" s="262"/>
      <c r="I45" s="255"/>
    </row>
    <row r="46" spans="2:15" ht="18">
      <c r="C46" s="282" t="s">
        <v>494</v>
      </c>
      <c r="D46" s="283" t="str">
        <f>B44</f>
        <v>ALPS-handshake</v>
      </c>
      <c r="E46" s="253"/>
      <c r="F46" s="254"/>
      <c r="G46" s="255"/>
      <c r="H46" s="262"/>
      <c r="I46" s="255"/>
      <c r="L46" s="256"/>
    </row>
    <row r="47" spans="2:15" ht="18">
      <c r="B47" s="248" t="str">
        <f>B72</f>
        <v>Pak &amp; Ivan</v>
      </c>
      <c r="C47" s="257"/>
      <c r="D47" s="263"/>
      <c r="E47" s="258"/>
      <c r="F47" s="254"/>
      <c r="G47" s="255"/>
      <c r="H47" s="262"/>
      <c r="I47" s="255"/>
      <c r="M47" s="253"/>
      <c r="N47" s="253"/>
      <c r="O47" s="255"/>
    </row>
    <row r="48" spans="2:15">
      <c r="D48" s="250" t="s">
        <v>495</v>
      </c>
      <c r="E48" s="255"/>
      <c r="F48" s="259" t="str">
        <f>D46</f>
        <v>ALPS-handshake</v>
      </c>
      <c r="G48" s="255"/>
      <c r="H48" s="262"/>
      <c r="I48" s="255"/>
      <c r="M48" s="253"/>
      <c r="N48" s="253"/>
      <c r="O48" s="255"/>
    </row>
    <row r="49" spans="2:15" ht="18">
      <c r="D49" s="276" t="s">
        <v>496</v>
      </c>
      <c r="E49" s="255"/>
      <c r="F49" s="262"/>
      <c r="G49" s="255"/>
      <c r="H49" s="262"/>
      <c r="I49" s="255"/>
      <c r="M49" s="256"/>
      <c r="N49" s="255"/>
      <c r="O49" s="255"/>
    </row>
    <row r="50" spans="2:15" ht="18">
      <c r="B50" s="248" t="str">
        <f>B73</f>
        <v>夢幻組合</v>
      </c>
      <c r="C50" s="249"/>
      <c r="D50" s="284"/>
      <c r="E50" s="253"/>
      <c r="F50" s="262"/>
      <c r="G50" s="277"/>
      <c r="H50" s="259" t="str">
        <f>F59</f>
        <v>米奇與超大隻傑</v>
      </c>
      <c r="I50" s="255"/>
      <c r="M50" s="256"/>
      <c r="N50" s="255"/>
      <c r="O50" s="255"/>
    </row>
    <row r="51" spans="2:15" ht="18">
      <c r="C51" s="250" t="s">
        <v>497</v>
      </c>
      <c r="D51" s="252" t="str">
        <f>B53</f>
        <v>SCAA YA</v>
      </c>
      <c r="E51" s="267"/>
      <c r="F51" s="262"/>
      <c r="G51" s="253"/>
      <c r="H51" s="254"/>
      <c r="I51" s="255"/>
      <c r="M51" s="253"/>
      <c r="N51" s="253"/>
      <c r="O51" s="255"/>
    </row>
    <row r="52" spans="2:15" ht="18">
      <c r="B52" s="254"/>
      <c r="C52" s="261" t="s">
        <v>498</v>
      </c>
      <c r="D52" s="253"/>
      <c r="E52" s="253"/>
      <c r="F52" s="262"/>
      <c r="G52" s="253"/>
      <c r="H52" s="254"/>
      <c r="I52" s="255"/>
      <c r="L52" s="256"/>
      <c r="M52" s="253"/>
      <c r="N52" s="267"/>
      <c r="O52" s="255"/>
    </row>
    <row r="53" spans="2:15" ht="18">
      <c r="B53" s="248" t="str">
        <f>男乙賽程!Y19</f>
        <v>SCAA YA</v>
      </c>
      <c r="C53" s="268" t="s">
        <v>149</v>
      </c>
      <c r="D53" s="253"/>
      <c r="E53" s="256"/>
      <c r="F53" s="250" t="s">
        <v>499</v>
      </c>
      <c r="I53" s="255"/>
      <c r="M53" s="253"/>
      <c r="N53" s="253"/>
      <c r="O53" s="255"/>
    </row>
    <row r="54" spans="2:15" ht="18">
      <c r="B54" s="254"/>
      <c r="D54" s="253"/>
      <c r="E54" s="253"/>
      <c r="F54" s="261" t="s">
        <v>500</v>
      </c>
      <c r="I54" s="255"/>
      <c r="K54" s="255"/>
      <c r="M54" s="253"/>
      <c r="N54" s="256"/>
      <c r="O54" s="256"/>
    </row>
    <row r="55" spans="2:15">
      <c r="D55" s="253"/>
      <c r="E55" s="253"/>
      <c r="F55" s="262"/>
      <c r="I55" s="255"/>
      <c r="M55" s="253"/>
      <c r="N55" s="253"/>
      <c r="O55" s="255"/>
    </row>
    <row r="56" spans="2:15" ht="18">
      <c r="B56" s="248" t="str">
        <f>B76</f>
        <v>ALPS_我要買GTR</v>
      </c>
      <c r="C56" s="249"/>
      <c r="D56" s="256"/>
      <c r="E56" s="255"/>
      <c r="F56" s="262"/>
      <c r="I56" s="255"/>
      <c r="K56" s="255"/>
      <c r="M56" s="253"/>
      <c r="N56" s="253"/>
      <c r="O56" s="255"/>
    </row>
    <row r="57" spans="2:15" ht="18">
      <c r="C57" s="250" t="s">
        <v>501</v>
      </c>
      <c r="D57" s="285"/>
      <c r="E57" s="253"/>
      <c r="F57" s="262"/>
      <c r="G57" s="255"/>
      <c r="K57" s="255"/>
      <c r="M57" s="256"/>
      <c r="N57" s="255"/>
      <c r="O57" s="255"/>
    </row>
    <row r="58" spans="2:15" ht="18">
      <c r="B58" s="254"/>
      <c r="C58" s="261" t="s">
        <v>502</v>
      </c>
      <c r="D58" s="283" t="str">
        <f>B56</f>
        <v>ALPS_我要買GTR</v>
      </c>
      <c r="E58" s="253"/>
      <c r="F58" s="262"/>
      <c r="J58" s="254"/>
      <c r="K58" s="255"/>
      <c r="L58" s="256"/>
      <c r="M58" s="253"/>
      <c r="N58" s="253"/>
      <c r="O58" s="255"/>
    </row>
    <row r="59" spans="2:15" ht="18">
      <c r="B59" s="248" t="str">
        <f>男乙賽程!R25</f>
        <v>紅藍</v>
      </c>
      <c r="C59" s="268" t="s">
        <v>155</v>
      </c>
      <c r="D59" s="286"/>
      <c r="E59" s="275"/>
      <c r="F59" s="259" t="str">
        <f>D63</f>
        <v>米奇與超大隻傑</v>
      </c>
      <c r="H59" s="287" t="str">
        <f>F35</f>
        <v>SKTL</v>
      </c>
      <c r="I59" s="138"/>
      <c r="J59" s="254"/>
      <c r="M59" s="253"/>
      <c r="N59" s="253"/>
      <c r="O59" s="255"/>
    </row>
    <row r="60" spans="2:15" ht="18">
      <c r="D60" s="250" t="s">
        <v>503</v>
      </c>
      <c r="E60" s="253"/>
      <c r="F60" s="254"/>
      <c r="H60" s="288"/>
      <c r="J60" s="254"/>
      <c r="K60" s="255"/>
      <c r="M60" s="256"/>
      <c r="N60" s="253"/>
      <c r="O60" s="255"/>
    </row>
    <row r="61" spans="2:15">
      <c r="B61" s="260"/>
      <c r="D61" s="261" t="s">
        <v>504</v>
      </c>
      <c r="E61" s="253"/>
      <c r="F61" s="254"/>
      <c r="H61" s="289"/>
      <c r="I61" s="290" t="s">
        <v>505</v>
      </c>
      <c r="J61" s="254"/>
      <c r="K61" s="255"/>
      <c r="M61" s="253"/>
      <c r="N61" s="253"/>
      <c r="O61" s="255"/>
    </row>
    <row r="62" spans="2:15">
      <c r="B62" s="291" t="str">
        <f>B69</f>
        <v>Alps-ZJ</v>
      </c>
      <c r="C62" s="249"/>
      <c r="D62" s="263"/>
      <c r="E62" s="253"/>
      <c r="F62" s="254"/>
      <c r="H62" s="292" t="s">
        <v>506</v>
      </c>
      <c r="I62" s="293" t="s">
        <v>381</v>
      </c>
      <c r="J62" s="294" t="str">
        <f>H59</f>
        <v>SKTL</v>
      </c>
      <c r="K62" s="138"/>
      <c r="M62" s="253"/>
      <c r="N62" s="253"/>
      <c r="O62" s="255"/>
    </row>
    <row r="63" spans="2:15">
      <c r="B63" s="265"/>
      <c r="C63" s="250" t="s">
        <v>507</v>
      </c>
      <c r="D63" s="283" t="str">
        <f>B65</f>
        <v>米奇與超大隻傑</v>
      </c>
      <c r="E63" s="253"/>
      <c r="F63" s="254"/>
      <c r="H63" s="289"/>
      <c r="J63" s="254"/>
      <c r="M63" s="253"/>
      <c r="N63" s="253"/>
      <c r="O63" s="255"/>
    </row>
    <row r="64" spans="2:15" ht="18">
      <c r="C64" s="282" t="s">
        <v>508</v>
      </c>
      <c r="D64" s="253"/>
      <c r="E64" s="253"/>
      <c r="F64" s="254"/>
      <c r="H64" s="289"/>
      <c r="J64" s="254"/>
      <c r="L64" s="256"/>
      <c r="M64" s="253"/>
      <c r="N64" s="253"/>
      <c r="O64" s="255"/>
    </row>
    <row r="65" spans="2:15" ht="18">
      <c r="B65" s="248" t="str">
        <f>男乙賽程!Y7</f>
        <v>米奇與超大隻傑</v>
      </c>
      <c r="C65" s="268" t="s">
        <v>125</v>
      </c>
      <c r="D65" s="256"/>
      <c r="E65" s="255"/>
      <c r="F65" s="254"/>
      <c r="G65" s="152"/>
      <c r="H65" s="259" t="str">
        <f>F48</f>
        <v>ALPS-handshake</v>
      </c>
      <c r="M65" s="253"/>
      <c r="N65" s="253"/>
      <c r="O65" s="255"/>
    </row>
    <row r="66" spans="2:15" ht="18">
      <c r="K66" s="129"/>
      <c r="M66" s="256"/>
      <c r="N66" s="255"/>
      <c r="O66" s="255"/>
    </row>
    <row r="67" spans="2:15" ht="18">
      <c r="G67" s="295" t="s">
        <v>376</v>
      </c>
      <c r="H67" s="296" t="s">
        <v>383</v>
      </c>
      <c r="M67" s="253"/>
      <c r="N67" s="297"/>
    </row>
    <row r="68" spans="2:15">
      <c r="G68" s="295" t="s">
        <v>379</v>
      </c>
      <c r="H68" s="296" t="s">
        <v>385</v>
      </c>
    </row>
    <row r="69" spans="2:15">
      <c r="B69" s="248" t="str">
        <f>男乙賽程!R8</f>
        <v>Alps-ZJ</v>
      </c>
      <c r="C69" s="248" t="s">
        <v>209</v>
      </c>
      <c r="G69" s="295" t="s">
        <v>382</v>
      </c>
      <c r="H69" s="296" t="s">
        <v>509</v>
      </c>
    </row>
    <row r="70" spans="2:15">
      <c r="B70" s="248" t="str">
        <f>男乙賽程!Y8</f>
        <v>SCAA K&amp;L</v>
      </c>
      <c r="C70" s="248" t="s">
        <v>203</v>
      </c>
      <c r="G70" s="295" t="s">
        <v>384</v>
      </c>
      <c r="H70" s="296" t="s">
        <v>510</v>
      </c>
    </row>
    <row r="71" spans="2:15">
      <c r="B71" s="248" t="str">
        <f>男乙賽程!R14</f>
        <v>Ben &amp; Eoach</v>
      </c>
      <c r="C71" s="248" t="s">
        <v>197</v>
      </c>
      <c r="G71" s="295" t="s">
        <v>511</v>
      </c>
      <c r="H71" s="296" t="s">
        <v>512</v>
      </c>
    </row>
    <row r="72" spans="2:15">
      <c r="B72" s="248" t="str">
        <f>男乙賽程!Y14</f>
        <v>Pak &amp; Ivan</v>
      </c>
      <c r="C72" s="248" t="s">
        <v>191</v>
      </c>
      <c r="G72" s="295" t="s">
        <v>513</v>
      </c>
      <c r="H72" s="296" t="s">
        <v>514</v>
      </c>
    </row>
    <row r="73" spans="2:15">
      <c r="B73" s="248" t="str">
        <f>男乙賽程!R20</f>
        <v>夢幻組合</v>
      </c>
      <c r="C73" s="248" t="s">
        <v>185</v>
      </c>
    </row>
    <row r="74" spans="2:15">
      <c r="B74" s="248">
        <f>男乙賽程!Y20</f>
        <v>1987.5</v>
      </c>
      <c r="C74" s="248" t="s">
        <v>179</v>
      </c>
    </row>
    <row r="75" spans="2:15" ht="18">
      <c r="B75" s="248" t="str">
        <f>男乙賽程!R26</f>
        <v>企拍</v>
      </c>
      <c r="C75" s="259" t="s">
        <v>173</v>
      </c>
      <c r="D75" s="267"/>
      <c r="E75" s="267"/>
      <c r="F75" s="254"/>
      <c r="G75" s="255"/>
      <c r="H75" s="254"/>
      <c r="I75" s="255"/>
    </row>
    <row r="76" spans="2:15" ht="18">
      <c r="B76" s="248" t="str">
        <f>男乙賽程!Y26</f>
        <v>ALPS_我要買GTR</v>
      </c>
      <c r="C76" s="298" t="s">
        <v>167</v>
      </c>
      <c r="D76" s="299"/>
      <c r="E76" s="253"/>
      <c r="F76" s="254"/>
      <c r="G76" s="255"/>
      <c r="H76" s="254"/>
      <c r="I76" s="255"/>
    </row>
    <row r="77" spans="2:15" ht="18">
      <c r="C77" s="159"/>
      <c r="D77" s="253"/>
      <c r="E77" s="256"/>
      <c r="F77" s="256"/>
      <c r="G77" s="256"/>
      <c r="H77" s="254"/>
      <c r="I77" s="255"/>
    </row>
    <row r="78" spans="2:15" ht="18">
      <c r="C78" s="159"/>
      <c r="D78" s="253"/>
      <c r="E78" s="253"/>
      <c r="F78" s="281"/>
    </row>
    <row r="79" spans="2:15" ht="18">
      <c r="C79" s="159"/>
      <c r="D79" s="253"/>
      <c r="E79" s="253"/>
      <c r="F79" s="254"/>
    </row>
    <row r="80" spans="2:15" ht="18">
      <c r="C80" s="159"/>
      <c r="D80" s="256"/>
      <c r="E80" s="255"/>
      <c r="F80" s="254"/>
    </row>
    <row r="81" spans="3:10" ht="18">
      <c r="C81" s="256"/>
      <c r="D81" s="299"/>
      <c r="E81" s="253"/>
      <c r="F81" s="254"/>
      <c r="H81" s="280"/>
    </row>
    <row r="82" spans="3:10" ht="18">
      <c r="C82" s="281"/>
      <c r="D82" s="140"/>
      <c r="E82" s="253"/>
      <c r="F82" s="254"/>
      <c r="G82" s="255"/>
      <c r="H82" s="254"/>
      <c r="I82" s="255"/>
    </row>
    <row r="83" spans="3:10" ht="18">
      <c r="C83" s="159"/>
      <c r="D83" s="256"/>
      <c r="E83" s="253"/>
      <c r="F83" s="297"/>
      <c r="G83" s="255"/>
      <c r="H83" s="254"/>
      <c r="I83" s="255"/>
    </row>
    <row r="84" spans="3:10" ht="18">
      <c r="C84" s="159"/>
      <c r="D84" s="256"/>
      <c r="E84" s="253"/>
      <c r="F84" s="297"/>
      <c r="G84" s="255"/>
      <c r="H84" s="254"/>
      <c r="I84" s="255"/>
    </row>
    <row r="85" spans="3:10" ht="18">
      <c r="C85" s="159"/>
      <c r="D85" s="281"/>
      <c r="E85" s="253"/>
      <c r="F85" s="254"/>
      <c r="G85" s="255"/>
      <c r="H85" s="254"/>
      <c r="I85" s="255"/>
    </row>
    <row r="86" spans="3:10" ht="18">
      <c r="C86" s="159"/>
      <c r="D86" s="253"/>
      <c r="E86" s="253"/>
      <c r="F86" s="254"/>
      <c r="G86" s="255"/>
      <c r="H86" s="254"/>
      <c r="I86" s="255"/>
    </row>
    <row r="87" spans="3:10" ht="18">
      <c r="C87" s="256"/>
      <c r="D87" s="267"/>
      <c r="E87" s="253"/>
      <c r="F87" s="254"/>
      <c r="G87" s="255"/>
      <c r="H87" s="254"/>
      <c r="I87" s="255"/>
    </row>
    <row r="88" spans="3:10" ht="18">
      <c r="C88" s="281"/>
      <c r="D88" s="299"/>
      <c r="E88" s="253"/>
      <c r="F88" s="254"/>
      <c r="G88" s="255"/>
      <c r="H88" s="254"/>
      <c r="I88" s="255"/>
    </row>
    <row r="89" spans="3:10" ht="18">
      <c r="C89" s="159"/>
      <c r="D89" s="256"/>
      <c r="E89" s="255"/>
      <c r="F89" s="254"/>
      <c r="H89" s="254"/>
      <c r="I89" s="256"/>
      <c r="J89" s="280"/>
    </row>
    <row r="90" spans="3:10" ht="18">
      <c r="C90" s="159"/>
      <c r="D90" s="253"/>
      <c r="E90" s="253"/>
      <c r="F90" s="254"/>
      <c r="H90" s="297"/>
      <c r="I90" s="253"/>
      <c r="J90" s="280"/>
    </row>
    <row r="91" spans="3:10" ht="18">
      <c r="C91" s="159"/>
      <c r="D91" s="253"/>
      <c r="E91" s="267"/>
      <c r="F91" s="254"/>
      <c r="G91" s="281"/>
      <c r="H91" s="254"/>
      <c r="I91" s="281"/>
    </row>
    <row r="92" spans="3:10" ht="18">
      <c r="C92" s="159"/>
      <c r="D92" s="121"/>
      <c r="G92" s="255"/>
      <c r="H92" s="254"/>
      <c r="I92" s="255"/>
    </row>
    <row r="93" spans="3:10" ht="18">
      <c r="C93" s="256"/>
      <c r="D93" s="133"/>
      <c r="G93" s="255"/>
      <c r="H93" s="254"/>
      <c r="I93" s="255"/>
    </row>
    <row r="94" spans="3:10" ht="18">
      <c r="C94" s="281"/>
      <c r="D94" s="267"/>
      <c r="E94" s="253"/>
      <c r="F94" s="254"/>
      <c r="G94" s="255"/>
      <c r="H94" s="254"/>
      <c r="I94" s="255"/>
    </row>
    <row r="95" spans="3:10" ht="18">
      <c r="C95" s="159"/>
      <c r="D95" s="253"/>
      <c r="E95" s="253"/>
      <c r="F95" s="297"/>
      <c r="G95" s="255"/>
      <c r="H95" s="254"/>
      <c r="I95" s="255"/>
    </row>
    <row r="96" spans="3:10" ht="18">
      <c r="C96" s="159"/>
      <c r="D96" s="256"/>
      <c r="E96" s="255"/>
      <c r="F96" s="297"/>
      <c r="G96" s="255"/>
      <c r="H96" s="254"/>
      <c r="I96" s="255"/>
    </row>
    <row r="97" spans="2:13" ht="18">
      <c r="C97" s="159"/>
      <c r="D97" s="281"/>
      <c r="E97" s="255"/>
      <c r="F97" s="254"/>
      <c r="G97" s="255"/>
      <c r="H97" s="254"/>
      <c r="I97" s="255"/>
    </row>
    <row r="98" spans="2:13" ht="18">
      <c r="C98" s="159"/>
      <c r="D98" s="281"/>
      <c r="E98" s="253"/>
      <c r="F98" s="254"/>
      <c r="G98" s="256"/>
      <c r="H98" s="254"/>
      <c r="I98" s="255"/>
      <c r="J98" s="280"/>
      <c r="K98" s="159"/>
      <c r="L98" s="152"/>
      <c r="M98" s="255"/>
    </row>
    <row r="99" spans="2:13" ht="18">
      <c r="C99" s="256"/>
      <c r="D99" s="267"/>
      <c r="E99" s="267"/>
      <c r="F99" s="254"/>
      <c r="G99" s="253"/>
      <c r="H99" s="297"/>
      <c r="I99" s="255"/>
      <c r="J99" s="280"/>
      <c r="K99" s="159"/>
      <c r="L99" s="152"/>
      <c r="M99" s="255"/>
    </row>
    <row r="100" spans="2:13" ht="18">
      <c r="C100" s="281"/>
      <c r="D100" s="299"/>
      <c r="E100" s="253"/>
      <c r="F100" s="254"/>
      <c r="G100" s="253"/>
      <c r="H100" s="254"/>
      <c r="I100" s="255"/>
      <c r="J100" s="280"/>
      <c r="K100" s="159"/>
      <c r="L100" s="152"/>
      <c r="M100" s="255"/>
    </row>
    <row r="101" spans="2:13" ht="18">
      <c r="C101" s="159"/>
      <c r="D101" s="253"/>
      <c r="E101" s="256"/>
      <c r="F101" s="256"/>
      <c r="I101" s="255"/>
      <c r="J101" s="280"/>
      <c r="K101" s="159"/>
      <c r="L101" s="152"/>
      <c r="M101" s="255"/>
    </row>
    <row r="102" spans="2:13" ht="18">
      <c r="B102" s="254"/>
      <c r="C102" s="159"/>
      <c r="D102" s="253"/>
      <c r="E102" s="253"/>
      <c r="F102" s="281"/>
      <c r="I102" s="255"/>
      <c r="J102" s="280"/>
      <c r="K102" s="159"/>
      <c r="L102" s="152"/>
      <c r="M102" s="255"/>
    </row>
    <row r="103" spans="2:13" ht="18">
      <c r="C103" s="159"/>
      <c r="D103" s="253"/>
      <c r="E103" s="253"/>
      <c r="F103" s="254"/>
      <c r="I103" s="255"/>
      <c r="J103" s="280"/>
      <c r="K103" s="159"/>
      <c r="L103" s="152"/>
      <c r="M103" s="255"/>
    </row>
    <row r="104" spans="2:13" ht="18">
      <c r="C104" s="159"/>
      <c r="D104" s="256"/>
      <c r="E104" s="255"/>
      <c r="F104" s="254"/>
      <c r="I104" s="255"/>
      <c r="J104" s="280"/>
      <c r="K104" s="159"/>
      <c r="L104" s="152"/>
      <c r="M104" s="255"/>
    </row>
    <row r="105" spans="2:13" ht="18">
      <c r="B105" s="254"/>
      <c r="C105" s="256"/>
      <c r="D105" s="299"/>
      <c r="E105" s="253"/>
      <c r="F105" s="254"/>
      <c r="G105" s="255"/>
      <c r="J105" s="280"/>
      <c r="K105" s="159"/>
      <c r="L105" s="152"/>
      <c r="M105" s="255"/>
    </row>
    <row r="106" spans="2:13" ht="18">
      <c r="B106" s="254"/>
      <c r="C106" s="281"/>
      <c r="D106" s="267"/>
      <c r="E106" s="253"/>
      <c r="F106" s="254"/>
      <c r="H106" s="280"/>
      <c r="J106" s="280"/>
      <c r="K106" s="159"/>
    </row>
    <row r="107" spans="2:13" ht="18">
      <c r="C107" s="159"/>
      <c r="D107" s="256"/>
      <c r="E107" s="253"/>
      <c r="F107" s="297"/>
      <c r="J107" s="280"/>
      <c r="K107" s="159"/>
    </row>
    <row r="108" spans="2:13" ht="18">
      <c r="B108" s="254"/>
      <c r="C108" s="159"/>
      <c r="D108" s="256"/>
      <c r="E108" s="253"/>
      <c r="F108" s="297"/>
      <c r="J108" s="280"/>
      <c r="K108" s="159"/>
    </row>
    <row r="109" spans="2:13" ht="18">
      <c r="B109" s="254"/>
      <c r="C109" s="159"/>
      <c r="D109" s="281"/>
      <c r="E109" s="253"/>
      <c r="F109" s="254"/>
      <c r="J109" s="280"/>
      <c r="K109" s="159"/>
    </row>
    <row r="110" spans="2:13" ht="18">
      <c r="C110" s="159"/>
      <c r="D110" s="253"/>
      <c r="E110" s="253"/>
      <c r="F110" s="254"/>
      <c r="J110" s="280"/>
      <c r="K110" s="159"/>
    </row>
    <row r="111" spans="2:13" ht="18">
      <c r="C111" s="256"/>
      <c r="D111" s="267"/>
      <c r="E111" s="253"/>
      <c r="F111" s="254"/>
      <c r="J111" s="280"/>
      <c r="K111" s="159"/>
    </row>
    <row r="112" spans="2:13" ht="18">
      <c r="C112" s="281"/>
      <c r="D112" s="299"/>
      <c r="E112" s="253"/>
      <c r="F112" s="254"/>
      <c r="J112" s="280"/>
      <c r="K112" s="159"/>
    </row>
    <row r="113" spans="2:11" ht="18">
      <c r="B113" s="300"/>
      <c r="C113" s="159"/>
      <c r="D113" s="256"/>
      <c r="E113" s="255"/>
      <c r="F113" s="254"/>
      <c r="G113" s="152"/>
      <c r="J113" s="280"/>
      <c r="K113" s="159"/>
    </row>
    <row r="114" spans="2:11">
      <c r="D114" s="121"/>
    </row>
  </sheetData>
  <phoneticPr fontId="118" type="noConversion"/>
  <pageMargins left="0.35416666666666702" right="0.35416666666666702" top="0.78749999999999998" bottom="0.78749999999999998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55"/>
  <sheetViews>
    <sheetView topLeftCell="B1" zoomScale="70" zoomScaleNormal="70" workbookViewId="0">
      <selection activeCell="B1" sqref="B1"/>
    </sheetView>
  </sheetViews>
  <sheetFormatPr defaultRowHeight="17.25"/>
  <cols>
    <col min="1" max="1" width="9.109375" style="160" hidden="1" customWidth="1"/>
    <col min="2" max="2" width="8.109375" style="160" customWidth="1"/>
    <col min="3" max="3" width="6.6640625" style="160" customWidth="1"/>
    <col min="4" max="4" width="8.6640625" style="160" customWidth="1"/>
    <col min="5" max="5" width="13.33203125" style="160" customWidth="1"/>
    <col min="6" max="6" width="4.33203125" style="160" customWidth="1"/>
    <col min="7" max="7" width="13.5546875" style="160" customWidth="1"/>
    <col min="8" max="8" width="21.6640625" style="160" customWidth="1"/>
    <col min="9" max="9" width="2.6640625" style="160" customWidth="1"/>
    <col min="10" max="10" width="21.6640625" style="160" customWidth="1"/>
    <col min="11" max="14" width="7.6640625" style="161" customWidth="1"/>
    <col min="15" max="15" width="22" style="164" customWidth="1"/>
    <col min="16" max="16" width="7.6640625" style="164" customWidth="1"/>
    <col min="17" max="17" width="7.6640625" style="160" customWidth="1"/>
    <col min="18" max="18" width="12.6640625" style="160" customWidth="1"/>
    <col min="19" max="24" width="7.6640625" style="160" customWidth="1"/>
    <col min="25" max="25" width="13.109375" style="160" customWidth="1"/>
    <col min="26" max="1025" width="7.6640625" style="160" customWidth="1"/>
  </cols>
  <sheetData>
    <row r="1" spans="1:29" ht="24.75">
      <c r="B1" s="301" t="s">
        <v>515</v>
      </c>
      <c r="C1" s="167"/>
      <c r="D1" s="302"/>
      <c r="E1" s="303"/>
      <c r="F1" s="167"/>
      <c r="G1" s="161"/>
      <c r="H1" s="165"/>
    </row>
    <row r="2" spans="1:29" ht="25.5">
      <c r="B2" s="166" t="s">
        <v>516</v>
      </c>
      <c r="C2" s="167"/>
      <c r="D2" s="302"/>
      <c r="E2" s="303"/>
      <c r="F2" s="167"/>
      <c r="G2" s="161"/>
      <c r="H2" s="165"/>
    </row>
    <row r="3" spans="1:29" ht="20.25">
      <c r="B3" s="167"/>
      <c r="C3" s="304"/>
      <c r="D3" s="167"/>
      <c r="E3" s="167"/>
      <c r="F3" s="305"/>
      <c r="G3" s="169"/>
      <c r="H3" s="170"/>
      <c r="I3" s="170"/>
      <c r="J3" s="170"/>
      <c r="K3" s="172" t="s">
        <v>388</v>
      </c>
      <c r="L3" s="172" t="s">
        <v>389</v>
      </c>
      <c r="M3" s="172" t="s">
        <v>389</v>
      </c>
      <c r="N3" s="172" t="s">
        <v>388</v>
      </c>
    </row>
    <row r="4" spans="1:29">
      <c r="A4" s="173" t="s">
        <v>390</v>
      </c>
      <c r="B4" s="306" t="s">
        <v>391</v>
      </c>
      <c r="C4" s="655" t="s">
        <v>392</v>
      </c>
      <c r="D4" s="655"/>
      <c r="E4" s="656" t="s">
        <v>393</v>
      </c>
      <c r="F4" s="656"/>
      <c r="G4" s="656"/>
      <c r="H4" s="178" t="s">
        <v>394</v>
      </c>
      <c r="I4" s="179"/>
      <c r="J4" s="178" t="s">
        <v>395</v>
      </c>
      <c r="K4" s="180"/>
      <c r="L4" s="180"/>
      <c r="M4" s="180"/>
      <c r="N4" s="180"/>
    </row>
    <row r="5" spans="1:29" ht="16.5" customHeight="1">
      <c r="A5" s="181" t="s">
        <v>396</v>
      </c>
      <c r="B5" s="308" t="s">
        <v>397</v>
      </c>
      <c r="C5" s="657" t="s">
        <v>398</v>
      </c>
      <c r="D5" s="657"/>
      <c r="E5" s="658" t="s">
        <v>399</v>
      </c>
      <c r="F5" s="658"/>
      <c r="G5" s="658"/>
      <c r="H5" s="186" t="s">
        <v>51</v>
      </c>
      <c r="I5" s="174"/>
      <c r="J5" s="186" t="s">
        <v>51</v>
      </c>
      <c r="K5" s="180"/>
      <c r="L5" s="180"/>
      <c r="M5" s="180"/>
      <c r="N5" s="180"/>
    </row>
    <row r="6" spans="1:29" ht="20.100000000000001" customHeight="1">
      <c r="A6" s="189" t="e">
        <f>IF(#REF!&lt;&gt;#REF!,#REF!,"")</f>
        <v>#REF!</v>
      </c>
      <c r="B6" s="310">
        <v>1</v>
      </c>
      <c r="C6" s="311" t="s">
        <v>404</v>
      </c>
      <c r="D6" s="312">
        <v>1</v>
      </c>
      <c r="E6" s="313" t="s">
        <v>119</v>
      </c>
      <c r="F6" s="313" t="s">
        <v>405</v>
      </c>
      <c r="G6" s="313" t="s">
        <v>323</v>
      </c>
      <c r="H6" s="180" t="str">
        <f>VLOOKUP(E6,MD!$C$6:$K$102,3,0)</f>
        <v>Alps LC</v>
      </c>
      <c r="I6" s="196" t="s">
        <v>405</v>
      </c>
      <c r="J6" s="314" t="s">
        <v>305</v>
      </c>
      <c r="K6" s="197">
        <v>2</v>
      </c>
      <c r="L6" s="180">
        <v>42</v>
      </c>
      <c r="M6" s="180">
        <v>0</v>
      </c>
      <c r="N6" s="180">
        <v>0</v>
      </c>
      <c r="O6" s="188" t="s">
        <v>517</v>
      </c>
      <c r="P6" s="188" t="s">
        <v>404</v>
      </c>
      <c r="Q6" s="187" t="s">
        <v>400</v>
      </c>
      <c r="R6" s="188" t="s">
        <v>50</v>
      </c>
      <c r="S6" s="188" t="s">
        <v>401</v>
      </c>
      <c r="T6" s="188" t="s">
        <v>402</v>
      </c>
      <c r="U6" s="188" t="s">
        <v>403</v>
      </c>
      <c r="V6" s="188" t="s">
        <v>61</v>
      </c>
      <c r="W6" s="198" t="s">
        <v>444</v>
      </c>
      <c r="X6" s="187" t="s">
        <v>400</v>
      </c>
      <c r="Y6" s="188" t="s">
        <v>50</v>
      </c>
      <c r="Z6" s="188" t="s">
        <v>401</v>
      </c>
      <c r="AA6" s="188" t="s">
        <v>402</v>
      </c>
      <c r="AB6" s="188" t="s">
        <v>403</v>
      </c>
      <c r="AC6" s="188" t="s">
        <v>61</v>
      </c>
    </row>
    <row r="7" spans="1:29" ht="20.100000000000001" customHeight="1">
      <c r="A7" s="200" t="e">
        <f>IF(#REF!&lt;&gt;#REF!,#REF!,"")</f>
        <v>#REF!</v>
      </c>
      <c r="B7" s="315">
        <v>2</v>
      </c>
      <c r="C7" s="316" t="s">
        <v>404</v>
      </c>
      <c r="D7" s="317">
        <v>2</v>
      </c>
      <c r="E7" s="318" t="s">
        <v>209</v>
      </c>
      <c r="F7" s="318" t="s">
        <v>405</v>
      </c>
      <c r="G7" s="319" t="s">
        <v>215</v>
      </c>
      <c r="H7" s="180" t="str">
        <f>VLOOKUP(E7,MD!$C$6:$K$102,3,0)</f>
        <v>YAMM</v>
      </c>
      <c r="I7" s="196" t="s">
        <v>405</v>
      </c>
      <c r="J7" s="180" t="str">
        <f>VLOOKUP(G7,MD!$C$6:$K$102,3,0)</f>
        <v>Alps-ZJ</v>
      </c>
      <c r="K7" s="197">
        <v>0</v>
      </c>
      <c r="L7" s="180">
        <v>0</v>
      </c>
      <c r="M7" s="180">
        <v>42</v>
      </c>
      <c r="N7" s="180">
        <v>2</v>
      </c>
      <c r="O7" s="188" t="s">
        <v>518</v>
      </c>
      <c r="Q7" s="179">
        <v>1</v>
      </c>
      <c r="R7" s="199" t="s">
        <v>114</v>
      </c>
      <c r="S7" s="199">
        <v>3</v>
      </c>
      <c r="T7" s="199">
        <v>0</v>
      </c>
      <c r="U7" s="199">
        <v>0</v>
      </c>
      <c r="V7" s="199">
        <f>S7*3+T7*1+U7*0</f>
        <v>9</v>
      </c>
      <c r="X7" s="179">
        <v>1</v>
      </c>
      <c r="Y7" s="320" t="s">
        <v>120</v>
      </c>
      <c r="Z7" s="199">
        <v>2</v>
      </c>
      <c r="AA7" s="199">
        <v>1</v>
      </c>
      <c r="AB7" s="199">
        <v>0</v>
      </c>
      <c r="AC7" s="199">
        <f>Z7*3+AA7*1+AB7*0</f>
        <v>7</v>
      </c>
    </row>
    <row r="8" spans="1:29" ht="20.100000000000001" customHeight="1">
      <c r="A8" s="200" t="e">
        <f>IF(#REF!&lt;&gt;#REF!,#REF!,"")</f>
        <v>#REF!</v>
      </c>
      <c r="B8" s="310">
        <v>3</v>
      </c>
      <c r="C8" s="316" t="s">
        <v>404</v>
      </c>
      <c r="D8" s="317">
        <v>3</v>
      </c>
      <c r="E8" s="318" t="s">
        <v>119</v>
      </c>
      <c r="F8" s="318" t="s">
        <v>405</v>
      </c>
      <c r="G8" s="319" t="s">
        <v>215</v>
      </c>
      <c r="H8" s="180" t="str">
        <f>VLOOKUP(E8,MD!$C$6:$K$102,3,0)</f>
        <v>Alps LC</v>
      </c>
      <c r="I8" s="196" t="s">
        <v>405</v>
      </c>
      <c r="J8" s="180" t="str">
        <f>VLOOKUP(G8,MD!$C$6:$K$102,3,0)</f>
        <v>Alps-ZJ</v>
      </c>
      <c r="K8" s="197">
        <v>2</v>
      </c>
      <c r="L8" s="180">
        <f>21+21</f>
        <v>42</v>
      </c>
      <c r="M8" s="180">
        <f>13+11</f>
        <v>24</v>
      </c>
      <c r="N8" s="180">
        <v>0</v>
      </c>
      <c r="O8" s="188" t="s">
        <v>519</v>
      </c>
      <c r="Q8" s="179">
        <v>2</v>
      </c>
      <c r="R8" s="199" t="s">
        <v>210</v>
      </c>
      <c r="S8" s="199">
        <v>2</v>
      </c>
      <c r="T8" s="199">
        <v>0</v>
      </c>
      <c r="U8" s="199">
        <v>1</v>
      </c>
      <c r="V8" s="199">
        <f>S8*3+T8*1+U8*0</f>
        <v>6</v>
      </c>
      <c r="X8" s="179">
        <v>2</v>
      </c>
      <c r="Y8" s="199" t="s">
        <v>198</v>
      </c>
      <c r="Z8" s="199">
        <v>2</v>
      </c>
      <c r="AA8" s="199">
        <v>1</v>
      </c>
      <c r="AB8" s="199">
        <v>0</v>
      </c>
      <c r="AC8" s="199">
        <f>Z8*3+AA8*1+AB8*0</f>
        <v>7</v>
      </c>
    </row>
    <row r="9" spans="1:29" ht="20.100000000000001" customHeight="1">
      <c r="A9" s="200" t="e">
        <f>IF(#REF!&lt;&gt;#REF!,#REF!,"")</f>
        <v>#REF!</v>
      </c>
      <c r="B9" s="315">
        <v>4</v>
      </c>
      <c r="C9" s="316" t="s">
        <v>404</v>
      </c>
      <c r="D9" s="317">
        <v>4</v>
      </c>
      <c r="E9" s="318" t="s">
        <v>209</v>
      </c>
      <c r="F9" s="318" t="s">
        <v>405</v>
      </c>
      <c r="G9" s="319" t="s">
        <v>323</v>
      </c>
      <c r="H9" s="180" t="str">
        <f>VLOOKUP(E9,MD!$C$6:$K$102,3,0)</f>
        <v>YAMM</v>
      </c>
      <c r="I9" s="196" t="s">
        <v>405</v>
      </c>
      <c r="J9" s="314" t="s">
        <v>305</v>
      </c>
      <c r="K9" s="197" t="s">
        <v>520</v>
      </c>
      <c r="L9" s="196" t="s">
        <v>520</v>
      </c>
      <c r="M9" s="196" t="s">
        <v>520</v>
      </c>
      <c r="N9" s="196" t="s">
        <v>520</v>
      </c>
      <c r="O9" s="188" t="s">
        <v>521</v>
      </c>
      <c r="Q9" s="321"/>
      <c r="R9" s="322" t="s">
        <v>204</v>
      </c>
      <c r="S9" s="322"/>
      <c r="T9" s="322"/>
      <c r="U9" s="322"/>
      <c r="V9" s="322">
        <f>S9*3+T9*1+U9*0</f>
        <v>0</v>
      </c>
      <c r="X9" s="179">
        <v>3</v>
      </c>
      <c r="Y9" s="199" t="s">
        <v>216</v>
      </c>
      <c r="Z9" s="199">
        <v>1</v>
      </c>
      <c r="AA9" s="199">
        <v>0</v>
      </c>
      <c r="AB9" s="199">
        <v>2</v>
      </c>
      <c r="AC9" s="199">
        <f>Z9*3+AA9*1+AB9*0</f>
        <v>3</v>
      </c>
    </row>
    <row r="10" spans="1:29" ht="20.100000000000001" customHeight="1">
      <c r="A10" s="200" t="e">
        <f>IF(#REF!&lt;&gt;#REF!,#REF!,"")</f>
        <v>#REF!</v>
      </c>
      <c r="B10" s="310">
        <v>5</v>
      </c>
      <c r="C10" s="316" t="s">
        <v>404</v>
      </c>
      <c r="D10" s="317">
        <v>5</v>
      </c>
      <c r="E10" s="318" t="s">
        <v>215</v>
      </c>
      <c r="F10" s="318" t="s">
        <v>405</v>
      </c>
      <c r="G10" s="319" t="s">
        <v>323</v>
      </c>
      <c r="H10" s="180" t="str">
        <f>VLOOKUP(E10,MD!$C$6:$K$102,3,0)</f>
        <v>Alps-ZJ</v>
      </c>
      <c r="I10" s="196" t="s">
        <v>405</v>
      </c>
      <c r="J10" s="314" t="s">
        <v>305</v>
      </c>
      <c r="K10" s="197">
        <v>2</v>
      </c>
      <c r="L10" s="180">
        <v>42</v>
      </c>
      <c r="M10" s="180">
        <v>0</v>
      </c>
      <c r="N10" s="180">
        <v>0</v>
      </c>
      <c r="O10" s="188" t="s">
        <v>517</v>
      </c>
      <c r="Q10" s="321"/>
      <c r="R10" s="322" t="s">
        <v>305</v>
      </c>
      <c r="S10" s="322"/>
      <c r="T10" s="322"/>
      <c r="U10" s="322"/>
      <c r="V10" s="322">
        <f>S10*3+T10*1+U10*0</f>
        <v>0</v>
      </c>
      <c r="X10" s="179">
        <v>4</v>
      </c>
      <c r="Y10" s="199" t="s">
        <v>278</v>
      </c>
      <c r="Z10" s="199">
        <v>0</v>
      </c>
      <c r="AA10" s="199">
        <v>0</v>
      </c>
      <c r="AB10" s="199">
        <v>3</v>
      </c>
      <c r="AC10" s="199">
        <f>Z10*3+AA10*1+AB10*0</f>
        <v>0</v>
      </c>
    </row>
    <row r="11" spans="1:29" ht="20.100000000000001" customHeight="1">
      <c r="A11" s="200"/>
      <c r="B11" s="315">
        <v>6</v>
      </c>
      <c r="C11" s="323" t="s">
        <v>404</v>
      </c>
      <c r="D11" s="324">
        <v>6</v>
      </c>
      <c r="E11" s="325" t="s">
        <v>119</v>
      </c>
      <c r="F11" s="325" t="s">
        <v>405</v>
      </c>
      <c r="G11" s="325" t="s">
        <v>209</v>
      </c>
      <c r="H11" s="180" t="str">
        <f>VLOOKUP(E11,MD!$C$6:$K$102,3,0)</f>
        <v>Alps LC</v>
      </c>
      <c r="I11" s="196" t="s">
        <v>405</v>
      </c>
      <c r="J11" s="180" t="str">
        <f>VLOOKUP(G11,MD!$C$6:$K$102,3,0)</f>
        <v>YAMM</v>
      </c>
      <c r="K11" s="197">
        <v>2</v>
      </c>
      <c r="L11" s="180">
        <v>42</v>
      </c>
      <c r="M11" s="180">
        <v>0</v>
      </c>
      <c r="N11" s="180">
        <v>0</v>
      </c>
      <c r="O11" s="188" t="s">
        <v>518</v>
      </c>
    </row>
    <row r="12" spans="1:29" ht="20.100000000000001" customHeight="1">
      <c r="A12" s="200"/>
      <c r="B12" s="326">
        <v>7</v>
      </c>
      <c r="C12" s="327" t="s">
        <v>444</v>
      </c>
      <c r="D12" s="312">
        <v>1</v>
      </c>
      <c r="E12" s="313" t="s">
        <v>125</v>
      </c>
      <c r="F12" s="313" t="s">
        <v>405</v>
      </c>
      <c r="G12" s="313" t="s">
        <v>325</v>
      </c>
      <c r="H12" s="180" t="str">
        <f>VLOOKUP(E12,MD!$C$6:$K$102,3,0)</f>
        <v>米奇與超大隻傑</v>
      </c>
      <c r="I12" s="196" t="s">
        <v>405</v>
      </c>
      <c r="J12" s="196" t="s">
        <v>278</v>
      </c>
      <c r="K12" s="197">
        <v>2</v>
      </c>
      <c r="L12" s="180">
        <f>21+21</f>
        <v>42</v>
      </c>
      <c r="M12" s="180">
        <f>13+9</f>
        <v>22</v>
      </c>
      <c r="N12" s="180">
        <v>0</v>
      </c>
      <c r="O12" s="188" t="s">
        <v>522</v>
      </c>
      <c r="Q12" s="187" t="s">
        <v>400</v>
      </c>
      <c r="R12" s="188" t="s">
        <v>50</v>
      </c>
      <c r="S12" s="188" t="s">
        <v>401</v>
      </c>
      <c r="T12" s="188" t="s">
        <v>402</v>
      </c>
      <c r="U12" s="188" t="s">
        <v>403</v>
      </c>
      <c r="V12" s="188" t="s">
        <v>61</v>
      </c>
      <c r="X12" s="187" t="s">
        <v>400</v>
      </c>
      <c r="Y12" s="188" t="s">
        <v>50</v>
      </c>
      <c r="Z12" s="188" t="s">
        <v>401</v>
      </c>
      <c r="AA12" s="188" t="s">
        <v>402</v>
      </c>
      <c r="AB12" s="188" t="s">
        <v>403</v>
      </c>
      <c r="AC12" s="188" t="s">
        <v>61</v>
      </c>
    </row>
    <row r="13" spans="1:29" ht="20.100000000000001" customHeight="1">
      <c r="A13" s="200"/>
      <c r="B13" s="328">
        <v>8</v>
      </c>
      <c r="C13" s="316" t="s">
        <v>444</v>
      </c>
      <c r="D13" s="317">
        <v>2</v>
      </c>
      <c r="E13" s="318" t="s">
        <v>203</v>
      </c>
      <c r="F13" s="318" t="s">
        <v>405</v>
      </c>
      <c r="G13" s="319" t="s">
        <v>221</v>
      </c>
      <c r="H13" s="180" t="str">
        <f>VLOOKUP(E13,MD!$C$6:$K$102,3,0)</f>
        <v>SCAA K&amp;L</v>
      </c>
      <c r="I13" s="196" t="s">
        <v>405</v>
      </c>
      <c r="J13" s="180" t="str">
        <f>VLOOKUP(G13,MD!$C$6:$K$102,3,0)</f>
        <v>WM</v>
      </c>
      <c r="K13" s="197">
        <v>2</v>
      </c>
      <c r="L13" s="180">
        <f>21+21</f>
        <v>42</v>
      </c>
      <c r="M13" s="180">
        <f>19+19</f>
        <v>38</v>
      </c>
      <c r="N13" s="180">
        <v>0</v>
      </c>
      <c r="O13" s="188" t="s">
        <v>523</v>
      </c>
      <c r="P13" s="188" t="s">
        <v>445</v>
      </c>
      <c r="Q13" s="179">
        <v>1</v>
      </c>
      <c r="R13" s="199" t="s">
        <v>524</v>
      </c>
      <c r="S13" s="199">
        <v>3</v>
      </c>
      <c r="T13" s="199">
        <v>0</v>
      </c>
      <c r="U13" s="199">
        <v>0</v>
      </c>
      <c r="V13" s="199">
        <f>S13*3+T13*1+U13*0</f>
        <v>9</v>
      </c>
      <c r="W13" s="198" t="s">
        <v>446</v>
      </c>
      <c r="X13" s="179">
        <v>1</v>
      </c>
      <c r="Y13" s="320" t="s">
        <v>186</v>
      </c>
      <c r="Z13" s="199">
        <v>2</v>
      </c>
      <c r="AA13" s="199">
        <v>1</v>
      </c>
      <c r="AB13" s="199">
        <v>0</v>
      </c>
      <c r="AC13" s="199">
        <f>Z13*3+AA13*1+AB13*0</f>
        <v>7</v>
      </c>
    </row>
    <row r="14" spans="1:29" ht="20.100000000000001" customHeight="1">
      <c r="A14" s="200"/>
      <c r="B14" s="328">
        <v>9</v>
      </c>
      <c r="C14" s="316" t="s">
        <v>444</v>
      </c>
      <c r="D14" s="317">
        <v>3</v>
      </c>
      <c r="E14" s="318" t="s">
        <v>125</v>
      </c>
      <c r="F14" s="318" t="s">
        <v>405</v>
      </c>
      <c r="G14" s="318" t="s">
        <v>221</v>
      </c>
      <c r="H14" s="180" t="str">
        <f>VLOOKUP(E14,MD!$C$6:$K$102,3,0)</f>
        <v>米奇與超大隻傑</v>
      </c>
      <c r="I14" s="196" t="s">
        <v>405</v>
      </c>
      <c r="J14" s="180" t="str">
        <f>VLOOKUP(G14,MD!$C$6:$K$102,3,0)</f>
        <v>WM</v>
      </c>
      <c r="K14" s="197">
        <v>2</v>
      </c>
      <c r="L14" s="180">
        <f>21+21</f>
        <v>42</v>
      </c>
      <c r="M14" s="180">
        <f>17+14</f>
        <v>31</v>
      </c>
      <c r="N14" s="180">
        <v>0</v>
      </c>
      <c r="O14" s="188" t="s">
        <v>525</v>
      </c>
      <c r="Q14" s="179">
        <v>2</v>
      </c>
      <c r="R14" s="199" t="s">
        <v>526</v>
      </c>
      <c r="S14" s="199">
        <v>1</v>
      </c>
      <c r="T14" s="199">
        <v>1</v>
      </c>
      <c r="U14" s="199">
        <v>1</v>
      </c>
      <c r="V14" s="199">
        <f>S14*3+T14*1+U14*0</f>
        <v>4</v>
      </c>
      <c r="X14" s="179">
        <v>2</v>
      </c>
      <c r="Y14" s="199" t="s">
        <v>132</v>
      </c>
      <c r="Z14" s="199">
        <v>2</v>
      </c>
      <c r="AA14" s="199">
        <v>1</v>
      </c>
      <c r="AB14" s="199">
        <v>0</v>
      </c>
      <c r="AC14" s="199">
        <f>Z14*3+AA14*1+AB14*0</f>
        <v>7</v>
      </c>
    </row>
    <row r="15" spans="1:29" ht="20.100000000000001" customHeight="1">
      <c r="A15" s="200"/>
      <c r="B15" s="328">
        <v>10</v>
      </c>
      <c r="C15" s="316" t="s">
        <v>444</v>
      </c>
      <c r="D15" s="317">
        <v>4</v>
      </c>
      <c r="E15" s="318" t="s">
        <v>203</v>
      </c>
      <c r="F15" s="318" t="s">
        <v>405</v>
      </c>
      <c r="G15" s="319" t="s">
        <v>325</v>
      </c>
      <c r="H15" s="180" t="str">
        <f>VLOOKUP(E15,MD!$C$6:$K$102,3,0)</f>
        <v>SCAA K&amp;L</v>
      </c>
      <c r="I15" s="196" t="s">
        <v>405</v>
      </c>
      <c r="J15" s="196" t="s">
        <v>278</v>
      </c>
      <c r="K15" s="197">
        <v>2</v>
      </c>
      <c r="L15" s="180">
        <f>21+21</f>
        <v>42</v>
      </c>
      <c r="M15" s="180">
        <f>4+12</f>
        <v>16</v>
      </c>
      <c r="N15" s="180">
        <v>0</v>
      </c>
      <c r="Q15" s="179">
        <v>3</v>
      </c>
      <c r="R15" s="199" t="s">
        <v>527</v>
      </c>
      <c r="S15" s="199">
        <v>1</v>
      </c>
      <c r="T15" s="199">
        <v>1</v>
      </c>
      <c r="U15" s="199">
        <v>1</v>
      </c>
      <c r="V15" s="199">
        <f>S15*3+T15*1+U15*0</f>
        <v>4</v>
      </c>
      <c r="X15" s="179">
        <v>3</v>
      </c>
      <c r="Y15" s="320" t="s">
        <v>228</v>
      </c>
      <c r="Z15" s="199">
        <v>1</v>
      </c>
      <c r="AA15" s="199">
        <v>0</v>
      </c>
      <c r="AB15" s="199">
        <v>2</v>
      </c>
      <c r="AC15" s="199">
        <f>Z15*3+AA15*1+AB15*0</f>
        <v>3</v>
      </c>
    </row>
    <row r="16" spans="1:29" ht="20.100000000000001" customHeight="1">
      <c r="A16" s="200"/>
      <c r="B16" s="326">
        <v>11</v>
      </c>
      <c r="C16" s="316" t="s">
        <v>444</v>
      </c>
      <c r="D16" s="317">
        <v>5</v>
      </c>
      <c r="E16" s="318" t="s">
        <v>221</v>
      </c>
      <c r="F16" s="318" t="s">
        <v>405</v>
      </c>
      <c r="G16" s="319" t="s">
        <v>325</v>
      </c>
      <c r="H16" s="180" t="str">
        <f>VLOOKUP(E16,MD!$C$6:$K$102,3,0)</f>
        <v>WM</v>
      </c>
      <c r="I16" s="196" t="s">
        <v>405</v>
      </c>
      <c r="J16" s="196" t="s">
        <v>278</v>
      </c>
      <c r="K16" s="197">
        <v>2</v>
      </c>
      <c r="L16" s="180">
        <f>21+21</f>
        <v>42</v>
      </c>
      <c r="M16" s="180">
        <f>17+16</f>
        <v>33</v>
      </c>
      <c r="N16" s="180">
        <v>0</v>
      </c>
      <c r="O16" s="188" t="s">
        <v>528</v>
      </c>
      <c r="Q16" s="321"/>
      <c r="R16" s="329" t="s">
        <v>529</v>
      </c>
      <c r="S16" s="322"/>
      <c r="T16" s="322"/>
      <c r="U16" s="322"/>
      <c r="V16" s="322"/>
      <c r="X16" s="321"/>
      <c r="Y16" s="329" t="s">
        <v>530</v>
      </c>
      <c r="Z16" s="322"/>
      <c r="AA16" s="322"/>
      <c r="AB16" s="322"/>
      <c r="AC16" s="322"/>
    </row>
    <row r="17" spans="1:29" ht="20.100000000000001" customHeight="1">
      <c r="A17" s="200"/>
      <c r="B17" s="328">
        <v>12</v>
      </c>
      <c r="C17" s="323" t="s">
        <v>444</v>
      </c>
      <c r="D17" s="324">
        <v>6</v>
      </c>
      <c r="E17" s="325" t="s">
        <v>125</v>
      </c>
      <c r="F17" s="325" t="s">
        <v>405</v>
      </c>
      <c r="G17" s="325" t="s">
        <v>203</v>
      </c>
      <c r="H17" s="180" t="str">
        <f>VLOOKUP(E17,MD!$C$6:$K$102,3,0)</f>
        <v>米奇與超大隻傑</v>
      </c>
      <c r="I17" s="196" t="s">
        <v>405</v>
      </c>
      <c r="J17" s="180" t="str">
        <f>VLOOKUP(G17,MD!$C$6:$K$102,3,0)</f>
        <v>SCAA K&amp;L</v>
      </c>
      <c r="K17" s="197">
        <v>1</v>
      </c>
      <c r="L17" s="180">
        <f>13+21</f>
        <v>34</v>
      </c>
      <c r="M17" s="180">
        <f>21+12</f>
        <v>33</v>
      </c>
      <c r="N17" s="180">
        <v>1</v>
      </c>
      <c r="O17" s="188" t="s">
        <v>531</v>
      </c>
    </row>
    <row r="18" spans="1:29" ht="20.100000000000001" customHeight="1">
      <c r="A18" s="200"/>
      <c r="B18" s="326">
        <v>13</v>
      </c>
      <c r="C18" s="330" t="s">
        <v>445</v>
      </c>
      <c r="D18" s="331">
        <v>1</v>
      </c>
      <c r="E18" s="310" t="s">
        <v>131</v>
      </c>
      <c r="F18" s="313" t="s">
        <v>405</v>
      </c>
      <c r="G18" s="313" t="s">
        <v>326</v>
      </c>
      <c r="H18" s="180" t="str">
        <f>VLOOKUP(E18,MD!$C$6:$K$102,3,0)</f>
        <v>ALPS - handshake</v>
      </c>
      <c r="I18" s="196" t="s">
        <v>405</v>
      </c>
      <c r="J18" s="196" t="s">
        <v>527</v>
      </c>
      <c r="K18" s="197">
        <v>2</v>
      </c>
      <c r="L18" s="180">
        <f>21+21</f>
        <v>42</v>
      </c>
      <c r="M18" s="180">
        <f>16+12</f>
        <v>28</v>
      </c>
      <c r="N18" s="180">
        <v>0</v>
      </c>
      <c r="O18" s="188" t="s">
        <v>532</v>
      </c>
      <c r="Q18" s="187" t="s">
        <v>400</v>
      </c>
      <c r="R18" s="188" t="s">
        <v>50</v>
      </c>
      <c r="S18" s="188" t="s">
        <v>401</v>
      </c>
      <c r="T18" s="188" t="s">
        <v>402</v>
      </c>
      <c r="U18" s="188" t="s">
        <v>403</v>
      </c>
      <c r="V18" s="188" t="s">
        <v>61</v>
      </c>
      <c r="X18" s="187" t="s">
        <v>400</v>
      </c>
      <c r="Y18" s="188" t="s">
        <v>50</v>
      </c>
      <c r="Z18" s="188" t="s">
        <v>401</v>
      </c>
      <c r="AA18" s="188" t="s">
        <v>402</v>
      </c>
      <c r="AB18" s="188" t="s">
        <v>403</v>
      </c>
      <c r="AC18" s="188" t="s">
        <v>61</v>
      </c>
    </row>
    <row r="19" spans="1:29" ht="20.100000000000001" customHeight="1">
      <c r="A19" s="200" t="e">
        <f>IF(#REF!&lt;&gt;#REF!,#REF!,"")</f>
        <v>#REF!</v>
      </c>
      <c r="B19" s="328">
        <v>14</v>
      </c>
      <c r="C19" s="316" t="s">
        <v>445</v>
      </c>
      <c r="D19" s="331">
        <v>2</v>
      </c>
      <c r="E19" s="332" t="s">
        <v>197</v>
      </c>
      <c r="F19" s="318" t="s">
        <v>405</v>
      </c>
      <c r="G19" s="319" t="s">
        <v>227</v>
      </c>
      <c r="H19" s="180" t="str">
        <f>VLOOKUP(E19,MD!$C$6:$K$102,3,0)</f>
        <v>熱情的麻鷹</v>
      </c>
      <c r="I19" s="196" t="s">
        <v>405</v>
      </c>
      <c r="J19" s="180" t="str">
        <f>VLOOKUP(G19,MD!$C$6:$K$102,3,0)</f>
        <v>Ben &amp; Enoch</v>
      </c>
      <c r="K19" s="197">
        <v>0</v>
      </c>
      <c r="L19" s="180">
        <v>0</v>
      </c>
      <c r="M19" s="180">
        <v>42</v>
      </c>
      <c r="N19" s="180">
        <v>2</v>
      </c>
      <c r="O19" s="333" t="s">
        <v>533</v>
      </c>
      <c r="P19" s="188" t="s">
        <v>438</v>
      </c>
      <c r="Q19" s="179">
        <v>1</v>
      </c>
      <c r="R19" s="199" t="s">
        <v>138</v>
      </c>
      <c r="S19" s="199">
        <v>3</v>
      </c>
      <c r="T19" s="199">
        <v>0</v>
      </c>
      <c r="U19" s="199">
        <v>0</v>
      </c>
      <c r="V19" s="199">
        <f>S19*3+T19*1+U19*0</f>
        <v>9</v>
      </c>
      <c r="W19" s="198" t="s">
        <v>439</v>
      </c>
      <c r="X19" s="179">
        <v>1</v>
      </c>
      <c r="Y19" s="199" t="s">
        <v>144</v>
      </c>
      <c r="Z19" s="199">
        <v>3</v>
      </c>
      <c r="AA19" s="199">
        <v>0</v>
      </c>
      <c r="AB19" s="199">
        <v>0</v>
      </c>
      <c r="AC19" s="199">
        <f>Z19*3+AA19*1+AB19*0</f>
        <v>9</v>
      </c>
    </row>
    <row r="20" spans="1:29" ht="20.100000000000001" customHeight="1">
      <c r="A20" s="200" t="e">
        <f>IF(#REF!&lt;&gt;#REF!,#REF!,"")</f>
        <v>#REF!</v>
      </c>
      <c r="B20" s="328">
        <v>15</v>
      </c>
      <c r="C20" s="334" t="s">
        <v>445</v>
      </c>
      <c r="D20" s="317">
        <v>3</v>
      </c>
      <c r="E20" s="318" t="s">
        <v>131</v>
      </c>
      <c r="F20" s="318" t="s">
        <v>405</v>
      </c>
      <c r="G20" s="318" t="s">
        <v>227</v>
      </c>
      <c r="H20" s="180" t="str">
        <f>VLOOKUP(E20,MD!$C$6:$K$102,3,0)</f>
        <v>ALPS - handshake</v>
      </c>
      <c r="I20" s="196" t="s">
        <v>405</v>
      </c>
      <c r="J20" s="180" t="str">
        <f>VLOOKUP(G20,MD!$C$6:$K$102,3,0)</f>
        <v>Ben &amp; Enoch</v>
      </c>
      <c r="K20" s="197">
        <v>2</v>
      </c>
      <c r="L20" s="180">
        <f>21+21</f>
        <v>42</v>
      </c>
      <c r="M20" s="180">
        <f>13+14</f>
        <v>27</v>
      </c>
      <c r="N20" s="180">
        <v>0</v>
      </c>
      <c r="O20" s="188" t="s">
        <v>534</v>
      </c>
      <c r="Q20" s="179">
        <v>2</v>
      </c>
      <c r="R20" s="320" t="s">
        <v>180</v>
      </c>
      <c r="S20" s="199">
        <v>2</v>
      </c>
      <c r="T20" s="199">
        <v>0</v>
      </c>
      <c r="U20" s="199">
        <v>1</v>
      </c>
      <c r="V20" s="199">
        <f>S20*3+T20*1+U20*0</f>
        <v>6</v>
      </c>
      <c r="X20" s="179">
        <v>2</v>
      </c>
      <c r="Y20" s="199">
        <v>1987.5</v>
      </c>
      <c r="Z20" s="199">
        <v>2</v>
      </c>
      <c r="AA20" s="199">
        <v>0</v>
      </c>
      <c r="AB20" s="199">
        <v>1</v>
      </c>
      <c r="AC20" s="199">
        <f>Z20*3+AA20*1+AB20*0</f>
        <v>6</v>
      </c>
    </row>
    <row r="21" spans="1:29" ht="20.100000000000001" customHeight="1">
      <c r="A21" s="200" t="e">
        <f>IF(#REF!&lt;&gt;#REF!,#REF!,"")</f>
        <v>#REF!</v>
      </c>
      <c r="B21" s="328">
        <v>16</v>
      </c>
      <c r="C21" s="316" t="s">
        <v>445</v>
      </c>
      <c r="D21" s="331">
        <v>4</v>
      </c>
      <c r="E21" s="332" t="s">
        <v>197</v>
      </c>
      <c r="F21" s="318" t="s">
        <v>405</v>
      </c>
      <c r="G21" s="319" t="s">
        <v>326</v>
      </c>
      <c r="H21" s="180" t="str">
        <f>VLOOKUP(E21,MD!$C$6:$K$102,3,0)</f>
        <v>熱情的麻鷹</v>
      </c>
      <c r="I21" s="196" t="s">
        <v>405</v>
      </c>
      <c r="J21" s="196" t="s">
        <v>527</v>
      </c>
      <c r="K21" s="197">
        <v>0</v>
      </c>
      <c r="L21" s="180">
        <v>0</v>
      </c>
      <c r="M21" s="180">
        <v>42</v>
      </c>
      <c r="N21" s="180">
        <v>2</v>
      </c>
      <c r="O21" s="333" t="s">
        <v>533</v>
      </c>
      <c r="Q21" s="179">
        <v>3</v>
      </c>
      <c r="R21" s="199" t="s">
        <v>535</v>
      </c>
      <c r="S21" s="199">
        <v>1</v>
      </c>
      <c r="T21" s="199">
        <v>0</v>
      </c>
      <c r="U21" s="199">
        <v>2</v>
      </c>
      <c r="V21" s="199">
        <f>S21*3+T21*1+U21*0</f>
        <v>3</v>
      </c>
      <c r="X21" s="179">
        <v>3</v>
      </c>
      <c r="Y21" s="320" t="s">
        <v>174</v>
      </c>
      <c r="Z21" s="199">
        <v>1</v>
      </c>
      <c r="AA21" s="199">
        <v>0</v>
      </c>
      <c r="AB21" s="199">
        <v>2</v>
      </c>
      <c r="AC21" s="199">
        <f>Z21*3+AA21*1+AB21*0</f>
        <v>3</v>
      </c>
    </row>
    <row r="22" spans="1:29" ht="20.100000000000001" customHeight="1">
      <c r="A22" s="200" t="e">
        <f>IF(#REF!&lt;&gt;#REF!,#REF!,"")</f>
        <v>#REF!</v>
      </c>
      <c r="B22" s="326">
        <v>17</v>
      </c>
      <c r="C22" s="316" t="s">
        <v>445</v>
      </c>
      <c r="D22" s="331">
        <v>5</v>
      </c>
      <c r="E22" s="332" t="s">
        <v>227</v>
      </c>
      <c r="F22" s="318" t="s">
        <v>405</v>
      </c>
      <c r="G22" s="319" t="s">
        <v>326</v>
      </c>
      <c r="H22" s="180" t="str">
        <f>VLOOKUP(E22,MD!$C$6:$K$102,3,0)</f>
        <v>Ben &amp; Enoch</v>
      </c>
      <c r="I22" s="196" t="s">
        <v>405</v>
      </c>
      <c r="J22" s="196" t="s">
        <v>527</v>
      </c>
      <c r="K22" s="197">
        <v>1</v>
      </c>
      <c r="L22" s="180">
        <f>21+12</f>
        <v>33</v>
      </c>
      <c r="M22" s="180">
        <f>10+21</f>
        <v>31</v>
      </c>
      <c r="N22" s="180">
        <v>1</v>
      </c>
      <c r="O22" s="188" t="s">
        <v>536</v>
      </c>
      <c r="Q22" s="321"/>
      <c r="R22" s="329" t="s">
        <v>234</v>
      </c>
      <c r="S22" s="322"/>
      <c r="T22" s="322"/>
      <c r="U22" s="322"/>
      <c r="V22" s="322"/>
      <c r="X22" s="321"/>
      <c r="Y22" s="322" t="s">
        <v>264</v>
      </c>
      <c r="Z22" s="322"/>
      <c r="AA22" s="322"/>
      <c r="AB22" s="322"/>
      <c r="AC22" s="322"/>
    </row>
    <row r="23" spans="1:29" ht="20.100000000000001" customHeight="1">
      <c r="A23" s="200" t="e">
        <f>IF(#REF!&lt;&gt;#REF!,#REF!,"")</f>
        <v>#REF!</v>
      </c>
      <c r="B23" s="328">
        <v>18</v>
      </c>
      <c r="C23" s="323" t="s">
        <v>445</v>
      </c>
      <c r="D23" s="324">
        <v>6</v>
      </c>
      <c r="E23" s="335" t="s">
        <v>131</v>
      </c>
      <c r="F23" s="325" t="s">
        <v>405</v>
      </c>
      <c r="G23" s="325" t="s">
        <v>197</v>
      </c>
      <c r="H23" s="180" t="str">
        <f>VLOOKUP(E23,MD!$C$6:$K$102,3,0)</f>
        <v>ALPS - handshake</v>
      </c>
      <c r="I23" s="196" t="s">
        <v>405</v>
      </c>
      <c r="J23" s="180" t="str">
        <f>VLOOKUP(G23,MD!$C$6:$K$102,3,0)</f>
        <v>熱情的麻鷹</v>
      </c>
      <c r="K23" s="197">
        <v>2</v>
      </c>
      <c r="L23" s="180">
        <v>42</v>
      </c>
      <c r="M23" s="180">
        <v>0</v>
      </c>
      <c r="N23" s="180">
        <v>0</v>
      </c>
      <c r="O23" s="333" t="s">
        <v>533</v>
      </c>
    </row>
    <row r="24" spans="1:29" ht="20.100000000000001" customHeight="1">
      <c r="A24" s="200" t="e">
        <f>IF(#REF!&lt;&gt;#REF!,#REF!,"")</f>
        <v>#REF!</v>
      </c>
      <c r="B24" s="326">
        <v>19</v>
      </c>
      <c r="C24" s="336" t="s">
        <v>446</v>
      </c>
      <c r="D24" s="331">
        <v>1</v>
      </c>
      <c r="E24" s="332" t="s">
        <v>137</v>
      </c>
      <c r="F24" s="318" t="s">
        <v>405</v>
      </c>
      <c r="G24" s="319" t="s">
        <v>328</v>
      </c>
      <c r="H24" s="180" t="str">
        <f>VLOOKUP(E24,MD!$C$6:$K$102,3,0)</f>
        <v>Pak &amp; Ivan</v>
      </c>
      <c r="I24" s="196" t="s">
        <v>405</v>
      </c>
      <c r="J24" s="314" t="s">
        <v>287</v>
      </c>
      <c r="K24" s="197">
        <v>2</v>
      </c>
      <c r="L24" s="180">
        <v>42</v>
      </c>
      <c r="M24" s="180">
        <v>0</v>
      </c>
      <c r="N24" s="180">
        <v>0</v>
      </c>
      <c r="O24" s="333" t="s">
        <v>537</v>
      </c>
      <c r="P24" s="188" t="s">
        <v>440</v>
      </c>
      <c r="Q24" s="187" t="s">
        <v>400</v>
      </c>
      <c r="R24" s="188" t="s">
        <v>50</v>
      </c>
      <c r="S24" s="188" t="s">
        <v>401</v>
      </c>
      <c r="T24" s="188" t="s">
        <v>402</v>
      </c>
      <c r="U24" s="188" t="s">
        <v>403</v>
      </c>
      <c r="V24" s="188" t="s">
        <v>61</v>
      </c>
      <c r="W24" s="198" t="s">
        <v>441</v>
      </c>
      <c r="X24" s="187" t="s">
        <v>400</v>
      </c>
      <c r="Y24" s="188" t="s">
        <v>50</v>
      </c>
      <c r="Z24" s="188" t="s">
        <v>401</v>
      </c>
      <c r="AA24" s="188" t="s">
        <v>402</v>
      </c>
      <c r="AB24" s="188" t="s">
        <v>403</v>
      </c>
      <c r="AC24" s="188" t="s">
        <v>61</v>
      </c>
    </row>
    <row r="25" spans="1:29" ht="20.100000000000001" customHeight="1">
      <c r="A25" s="200" t="e">
        <f>IF(#REF!&lt;&gt;#REF!,#REF!,"")</f>
        <v>#REF!</v>
      </c>
      <c r="B25" s="328">
        <v>20</v>
      </c>
      <c r="C25" s="336" t="s">
        <v>446</v>
      </c>
      <c r="D25" s="331">
        <v>2</v>
      </c>
      <c r="E25" s="332" t="s">
        <v>191</v>
      </c>
      <c r="F25" s="318" t="s">
        <v>405</v>
      </c>
      <c r="G25" s="319" t="s">
        <v>233</v>
      </c>
      <c r="H25" s="180" t="str">
        <f>VLOOKUP(E25,MD!$C$6:$K$102,3,0)</f>
        <v>我叫你</v>
      </c>
      <c r="I25" s="196" t="s">
        <v>405</v>
      </c>
      <c r="J25" s="180" t="str">
        <f>VLOOKUP(G25,MD!$C$6:$K$102,3,0)</f>
        <v>微胖大叔</v>
      </c>
      <c r="K25" s="197">
        <v>2</v>
      </c>
      <c r="L25" s="180">
        <f>22+21</f>
        <v>43</v>
      </c>
      <c r="M25" s="180">
        <f>20+9</f>
        <v>29</v>
      </c>
      <c r="N25" s="180">
        <v>0</v>
      </c>
      <c r="O25" s="188" t="s">
        <v>538</v>
      </c>
      <c r="Q25" s="179">
        <v>1</v>
      </c>
      <c r="R25" s="320" t="s">
        <v>168</v>
      </c>
      <c r="S25" s="199">
        <v>3</v>
      </c>
      <c r="T25" s="199">
        <v>0</v>
      </c>
      <c r="U25" s="199">
        <v>0</v>
      </c>
      <c r="V25" s="199">
        <f>S25*3+T25*1+U25*0</f>
        <v>9</v>
      </c>
      <c r="X25" s="179">
        <v>1</v>
      </c>
      <c r="Y25" s="199" t="s">
        <v>539</v>
      </c>
      <c r="Z25" s="199">
        <v>3</v>
      </c>
      <c r="AA25" s="199">
        <v>0</v>
      </c>
      <c r="AB25" s="199">
        <v>0</v>
      </c>
      <c r="AC25" s="199">
        <f>Z25*3+AA25*1+AB25*0</f>
        <v>9</v>
      </c>
    </row>
    <row r="26" spans="1:29" ht="20.100000000000001" customHeight="1">
      <c r="A26" s="200" t="e">
        <f>IF(#REF!&lt;&gt;#REF!,#REF!,"")</f>
        <v>#REF!</v>
      </c>
      <c r="B26" s="328">
        <v>21</v>
      </c>
      <c r="C26" s="316" t="s">
        <v>446</v>
      </c>
      <c r="D26" s="317">
        <v>3</v>
      </c>
      <c r="E26" s="318" t="s">
        <v>137</v>
      </c>
      <c r="F26" s="318" t="s">
        <v>405</v>
      </c>
      <c r="G26" s="318" t="s">
        <v>233</v>
      </c>
      <c r="H26" s="180" t="str">
        <f>VLOOKUP(E26,MD!$C$6:$K$102,3,0)</f>
        <v>Pak &amp; Ivan</v>
      </c>
      <c r="I26" s="196" t="s">
        <v>405</v>
      </c>
      <c r="J26" s="180" t="str">
        <f>VLOOKUP(G26,MD!$C$6:$K$102,3,0)</f>
        <v>微胖大叔</v>
      </c>
      <c r="K26" s="197">
        <v>2</v>
      </c>
      <c r="L26" s="180">
        <f>21+21</f>
        <v>42</v>
      </c>
      <c r="M26" s="180">
        <f>12+19</f>
        <v>31</v>
      </c>
      <c r="N26" s="180">
        <v>0</v>
      </c>
      <c r="O26" s="188" t="s">
        <v>540</v>
      </c>
      <c r="Q26" s="179">
        <v>2</v>
      </c>
      <c r="R26" s="320" t="s">
        <v>245</v>
      </c>
      <c r="S26" s="199">
        <v>2</v>
      </c>
      <c r="T26" s="199">
        <v>0</v>
      </c>
      <c r="U26" s="199">
        <v>1</v>
      </c>
      <c r="V26" s="199">
        <f>S26*3+T26*1+U26*0</f>
        <v>6</v>
      </c>
      <c r="X26" s="179">
        <v>2</v>
      </c>
      <c r="Y26" s="199" t="s">
        <v>541</v>
      </c>
      <c r="Z26" s="199">
        <v>2</v>
      </c>
      <c r="AA26" s="199">
        <v>0</v>
      </c>
      <c r="AB26" s="199">
        <v>1</v>
      </c>
      <c r="AC26" s="199">
        <f>Z26*3+AA26*1+AB26*0</f>
        <v>6</v>
      </c>
    </row>
    <row r="27" spans="1:29" ht="20.100000000000001" customHeight="1">
      <c r="A27" s="200" t="e">
        <f>IF(#REF!&lt;&gt;#REF!,#REF!,"")</f>
        <v>#REF!</v>
      </c>
      <c r="B27" s="328">
        <v>22</v>
      </c>
      <c r="C27" s="336" t="s">
        <v>446</v>
      </c>
      <c r="D27" s="331">
        <v>4</v>
      </c>
      <c r="E27" s="332" t="s">
        <v>191</v>
      </c>
      <c r="F27" s="318" t="s">
        <v>405</v>
      </c>
      <c r="G27" s="319" t="s">
        <v>328</v>
      </c>
      <c r="H27" s="180" t="str">
        <f>VLOOKUP(E27,MD!$C$6:$K$102,3,0)</f>
        <v>我叫你</v>
      </c>
      <c r="I27" s="196" t="s">
        <v>405</v>
      </c>
      <c r="J27" s="314" t="s">
        <v>287</v>
      </c>
      <c r="K27" s="197">
        <v>2</v>
      </c>
      <c r="L27" s="180">
        <v>42</v>
      </c>
      <c r="M27" s="180">
        <v>0</v>
      </c>
      <c r="N27" s="180">
        <v>0</v>
      </c>
      <c r="O27" s="333" t="s">
        <v>537</v>
      </c>
      <c r="Q27" s="321"/>
      <c r="R27" s="322" t="s">
        <v>150</v>
      </c>
      <c r="S27" s="322"/>
      <c r="T27" s="322"/>
      <c r="U27" s="322"/>
      <c r="V27" s="322"/>
      <c r="X27" s="179">
        <v>3</v>
      </c>
      <c r="Y27" s="199" t="s">
        <v>251</v>
      </c>
      <c r="Z27" s="199">
        <v>1</v>
      </c>
      <c r="AA27" s="199">
        <v>0</v>
      </c>
      <c r="AB27" s="199">
        <v>2</v>
      </c>
      <c r="AC27" s="199">
        <f>Z27*3+AA27*1+AB27*0</f>
        <v>3</v>
      </c>
    </row>
    <row r="28" spans="1:29" ht="20.100000000000001" customHeight="1">
      <c r="A28" s="200" t="e">
        <f>IF(#REF!&lt;&gt;#REF!,#REF!,"")</f>
        <v>#REF!</v>
      </c>
      <c r="B28" s="326">
        <v>23</v>
      </c>
      <c r="C28" s="336" t="s">
        <v>446</v>
      </c>
      <c r="D28" s="331">
        <v>5</v>
      </c>
      <c r="E28" s="332" t="s">
        <v>233</v>
      </c>
      <c r="F28" s="318" t="s">
        <v>405</v>
      </c>
      <c r="G28" s="319" t="s">
        <v>328</v>
      </c>
      <c r="H28" s="180" t="str">
        <f>VLOOKUP(E28,MD!$C$6:$K$102,3,0)</f>
        <v>微胖大叔</v>
      </c>
      <c r="I28" s="196" t="s">
        <v>405</v>
      </c>
      <c r="J28" s="314" t="s">
        <v>287</v>
      </c>
      <c r="K28" s="197">
        <v>2</v>
      </c>
      <c r="L28" s="180">
        <v>42</v>
      </c>
      <c r="M28" s="180">
        <v>0</v>
      </c>
      <c r="N28" s="180">
        <v>0</v>
      </c>
      <c r="O28" s="333" t="s">
        <v>537</v>
      </c>
      <c r="Q28" s="321"/>
      <c r="R28" s="322" t="s">
        <v>282</v>
      </c>
      <c r="S28" s="322"/>
      <c r="T28" s="322"/>
      <c r="U28" s="322"/>
      <c r="V28" s="322"/>
      <c r="X28" s="321"/>
      <c r="Y28" s="322" t="s">
        <v>162</v>
      </c>
      <c r="Z28" s="322"/>
      <c r="AA28" s="322"/>
      <c r="AB28" s="322"/>
      <c r="AC28" s="322"/>
    </row>
    <row r="29" spans="1:29" ht="20.100000000000001" customHeight="1">
      <c r="A29" s="200" t="e">
        <f>IF(#REF!&lt;&gt;#REF!,#REF!,"")</f>
        <v>#REF!</v>
      </c>
      <c r="B29" s="328">
        <v>24</v>
      </c>
      <c r="C29" s="336" t="s">
        <v>446</v>
      </c>
      <c r="D29" s="324">
        <v>6</v>
      </c>
      <c r="E29" s="335" t="s">
        <v>137</v>
      </c>
      <c r="F29" s="325" t="s">
        <v>405</v>
      </c>
      <c r="G29" s="325" t="s">
        <v>191</v>
      </c>
      <c r="H29" s="180" t="str">
        <f>VLOOKUP(E29,MD!$C$6:$K$102,3,0)</f>
        <v>Pak &amp; Ivan</v>
      </c>
      <c r="I29" s="196" t="s">
        <v>405</v>
      </c>
      <c r="J29" s="180" t="str">
        <f>VLOOKUP(G29,MD!$C$6:$K$102,3,0)</f>
        <v>我叫你</v>
      </c>
      <c r="K29" s="197">
        <v>1</v>
      </c>
      <c r="L29" s="180">
        <f>15+21</f>
        <v>36</v>
      </c>
      <c r="M29" s="180">
        <f>21+17</f>
        <v>38</v>
      </c>
      <c r="N29" s="180">
        <v>1</v>
      </c>
    </row>
    <row r="30" spans="1:29" ht="20.100000000000001" customHeight="1">
      <c r="A30" s="200" t="e">
        <f>IF(#REF!&lt;&gt;#REF!,#REF!,"")</f>
        <v>#REF!</v>
      </c>
      <c r="B30" s="326">
        <v>25</v>
      </c>
      <c r="C30" s="311" t="s">
        <v>438</v>
      </c>
      <c r="D30" s="331">
        <v>1</v>
      </c>
      <c r="E30" s="332" t="s">
        <v>143</v>
      </c>
      <c r="F30" s="318" t="s">
        <v>405</v>
      </c>
      <c r="G30" s="319" t="s">
        <v>304</v>
      </c>
      <c r="H30" s="180" t="str">
        <f>VLOOKUP(E30,MD!$C$6:$K$102,3,0)</f>
        <v>SKTL</v>
      </c>
      <c r="I30" s="196" t="s">
        <v>405</v>
      </c>
      <c r="J30" s="180" t="str">
        <f>VLOOKUP(G30,MD!$C$6:$K$102,3,0)</f>
        <v xml:space="preserve">Alison volleyball </v>
      </c>
      <c r="K30" s="197">
        <v>2</v>
      </c>
      <c r="L30" s="180">
        <f>21+21</f>
        <v>42</v>
      </c>
      <c r="M30" s="180">
        <f>2+7</f>
        <v>9</v>
      </c>
      <c r="N30" s="180">
        <v>0</v>
      </c>
      <c r="O30" s="188" t="s">
        <v>542</v>
      </c>
      <c r="P30" s="20"/>
      <c r="Q30" s="20"/>
    </row>
    <row r="31" spans="1:29" ht="20.100000000000001" customHeight="1">
      <c r="A31" s="200" t="e">
        <f>IF(#REF!&lt;&gt;#REF!,#REF!,"")</f>
        <v>#REF!</v>
      </c>
      <c r="B31" s="328">
        <v>26</v>
      </c>
      <c r="C31" s="316" t="s">
        <v>438</v>
      </c>
      <c r="D31" s="331">
        <v>2</v>
      </c>
      <c r="E31" s="332" t="s">
        <v>185</v>
      </c>
      <c r="F31" s="318" t="s">
        <v>405</v>
      </c>
      <c r="G31" s="319" t="s">
        <v>239</v>
      </c>
      <c r="H31" s="180" t="str">
        <f>VLOOKUP(E31,MD!$C$6:$K$102,3,0)</f>
        <v>夢幻組合</v>
      </c>
      <c r="I31" s="196" t="s">
        <v>405</v>
      </c>
      <c r="J31" s="180" t="str">
        <f>VLOOKUP(G31,MD!$C$6:$K$102,3,0)</f>
        <v>爸爸隊</v>
      </c>
      <c r="K31" s="197">
        <v>2</v>
      </c>
      <c r="L31" s="180">
        <v>42</v>
      </c>
      <c r="M31" s="180">
        <v>0</v>
      </c>
      <c r="N31" s="180">
        <v>0</v>
      </c>
      <c r="O31" s="333" t="s">
        <v>543</v>
      </c>
      <c r="P31" s="20"/>
      <c r="Q31" s="20"/>
      <c r="R31" s="20"/>
      <c r="S31" s="20"/>
      <c r="T31" s="20"/>
      <c r="U31" s="20"/>
      <c r="V31" s="20"/>
      <c r="W31" s="20"/>
    </row>
    <row r="32" spans="1:29" ht="20.100000000000001" customHeight="1">
      <c r="A32" s="200" t="e">
        <f>IF(#REF!&lt;&gt;#REF!,#REF!,"")</f>
        <v>#REF!</v>
      </c>
      <c r="B32" s="328">
        <v>27</v>
      </c>
      <c r="C32" s="316" t="s">
        <v>438</v>
      </c>
      <c r="D32" s="317">
        <v>3</v>
      </c>
      <c r="E32" s="318" t="s">
        <v>143</v>
      </c>
      <c r="F32" s="318" t="s">
        <v>405</v>
      </c>
      <c r="G32" s="318" t="s">
        <v>239</v>
      </c>
      <c r="H32" s="180" t="str">
        <f>VLOOKUP(E32,MD!$C$6:$K$102,3,0)</f>
        <v>SKTL</v>
      </c>
      <c r="I32" s="196" t="s">
        <v>405</v>
      </c>
      <c r="J32" s="180" t="str">
        <f>VLOOKUP(G32,MD!$C$6:$K$102,3,0)</f>
        <v>爸爸隊</v>
      </c>
      <c r="K32" s="197">
        <v>2</v>
      </c>
      <c r="L32" s="180">
        <v>42</v>
      </c>
      <c r="M32" s="180">
        <v>0</v>
      </c>
      <c r="N32" s="180">
        <v>0</v>
      </c>
      <c r="O32" s="333" t="s">
        <v>543</v>
      </c>
      <c r="P32" s="20"/>
      <c r="Q32" s="20"/>
      <c r="R32" s="20"/>
      <c r="S32" s="20"/>
      <c r="T32" s="20"/>
      <c r="U32" s="20"/>
      <c r="V32" s="20"/>
      <c r="W32" s="20"/>
    </row>
    <row r="33" spans="1:29" ht="20.100000000000001" customHeight="1">
      <c r="A33" s="200" t="e">
        <f>IF(#REF!&lt;&gt;#REF!,#REF!,"")</f>
        <v>#REF!</v>
      </c>
      <c r="B33" s="328">
        <v>28</v>
      </c>
      <c r="C33" s="316" t="s">
        <v>438</v>
      </c>
      <c r="D33" s="331">
        <v>4</v>
      </c>
      <c r="E33" s="332" t="s">
        <v>185</v>
      </c>
      <c r="F33" s="318" t="s">
        <v>405</v>
      </c>
      <c r="G33" s="319" t="s">
        <v>304</v>
      </c>
      <c r="H33" s="180" t="str">
        <f>VLOOKUP(E33,MD!$C$6:$K$102,3,0)</f>
        <v>夢幻組合</v>
      </c>
      <c r="I33" s="196" t="s">
        <v>405</v>
      </c>
      <c r="J33" s="180" t="str">
        <f>VLOOKUP(G33,MD!$C$6:$K$102,3,0)</f>
        <v xml:space="preserve">Alison volleyball </v>
      </c>
      <c r="K33" s="197">
        <v>2</v>
      </c>
      <c r="L33" s="180">
        <f>21+21</f>
        <v>42</v>
      </c>
      <c r="M33" s="180">
        <f>11+6</f>
        <v>17</v>
      </c>
      <c r="N33" s="180">
        <v>0</v>
      </c>
      <c r="O33" s="188" t="s">
        <v>544</v>
      </c>
      <c r="P33" s="20"/>
      <c r="Q33" s="20"/>
      <c r="R33" s="20"/>
      <c r="S33" s="20"/>
      <c r="T33" s="20"/>
      <c r="U33" s="20"/>
      <c r="V33" s="20"/>
      <c r="W33" s="20"/>
    </row>
    <row r="34" spans="1:29" ht="20.100000000000001" customHeight="1">
      <c r="A34" s="200" t="e">
        <f>IF(#REF!&lt;&gt;#REF!,#REF!,"")</f>
        <v>#REF!</v>
      </c>
      <c r="B34" s="326">
        <v>29</v>
      </c>
      <c r="C34" s="316" t="s">
        <v>438</v>
      </c>
      <c r="D34" s="331">
        <v>5</v>
      </c>
      <c r="E34" s="332" t="s">
        <v>239</v>
      </c>
      <c r="F34" s="318" t="s">
        <v>405</v>
      </c>
      <c r="G34" s="319" t="s">
        <v>304</v>
      </c>
      <c r="H34" s="180" t="str">
        <f>VLOOKUP(E34,MD!$C$6:$K$102,3,0)</f>
        <v>爸爸隊</v>
      </c>
      <c r="I34" s="196" t="s">
        <v>405</v>
      </c>
      <c r="J34" s="180" t="str">
        <f>VLOOKUP(G34,MD!$C$6:$K$102,3,0)</f>
        <v xml:space="preserve">Alison volleyball </v>
      </c>
      <c r="K34" s="197">
        <v>0</v>
      </c>
      <c r="L34" s="180">
        <v>0</v>
      </c>
      <c r="M34" s="180">
        <v>42</v>
      </c>
      <c r="N34" s="180">
        <v>2</v>
      </c>
      <c r="O34" s="333" t="s">
        <v>543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20.100000000000001" customHeight="1">
      <c r="A35" s="200" t="e">
        <f>IF(#REF!&lt;&gt;#REF!,#REF!,"")</f>
        <v>#REF!</v>
      </c>
      <c r="B35" s="328">
        <v>30</v>
      </c>
      <c r="C35" s="316" t="s">
        <v>438</v>
      </c>
      <c r="D35" s="324">
        <v>6</v>
      </c>
      <c r="E35" s="335" t="s">
        <v>143</v>
      </c>
      <c r="F35" s="325" t="s">
        <v>405</v>
      </c>
      <c r="G35" s="325" t="s">
        <v>185</v>
      </c>
      <c r="H35" s="180" t="str">
        <f>VLOOKUP(E35,MD!$C$6:$K$102,3,0)</f>
        <v>SKTL</v>
      </c>
      <c r="I35" s="196" t="s">
        <v>405</v>
      </c>
      <c r="J35" s="180" t="str">
        <f>VLOOKUP(G35,MD!$C$6:$K$102,3,0)</f>
        <v>夢幻組合</v>
      </c>
      <c r="K35" s="197">
        <v>2</v>
      </c>
      <c r="L35" s="180">
        <f>21+21</f>
        <v>42</v>
      </c>
      <c r="M35" s="180">
        <f>15+18</f>
        <v>33</v>
      </c>
      <c r="N35" s="180">
        <v>0</v>
      </c>
      <c r="O35" s="188" t="s">
        <v>545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20.100000000000001" customHeight="1">
      <c r="A36" s="200" t="e">
        <f>IF(#REF!&lt;&gt;#REF!,#REF!,"")</f>
        <v>#REF!</v>
      </c>
      <c r="B36" s="326">
        <v>31</v>
      </c>
      <c r="C36" s="311" t="s">
        <v>439</v>
      </c>
      <c r="D36" s="331">
        <v>1</v>
      </c>
      <c r="E36" s="310" t="s">
        <v>149</v>
      </c>
      <c r="F36" s="313" t="s">
        <v>405</v>
      </c>
      <c r="G36" s="313" t="s">
        <v>269</v>
      </c>
      <c r="H36" s="180" t="str">
        <f>VLOOKUP(E36,MD!$C$6:$K$102,3,0)</f>
        <v>SCAA YA</v>
      </c>
      <c r="I36" s="196" t="s">
        <v>405</v>
      </c>
      <c r="J36" s="180" t="str">
        <f>VLOOKUP(G36,MD!$C$6:$K$102,3,0)</f>
        <v>SCAA 99</v>
      </c>
      <c r="K36" s="197">
        <v>2</v>
      </c>
      <c r="L36" s="180">
        <v>42</v>
      </c>
      <c r="M36" s="180">
        <v>0</v>
      </c>
      <c r="N36" s="180">
        <v>0</v>
      </c>
      <c r="O36" s="188" t="s">
        <v>546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20.100000000000001" customHeight="1">
      <c r="A37" s="200" t="e">
        <f>IF(#REF!&lt;&gt;#REF!,#REF!,"")</f>
        <v>#REF!</v>
      </c>
      <c r="B37" s="328">
        <v>32</v>
      </c>
      <c r="C37" s="316" t="s">
        <v>439</v>
      </c>
      <c r="D37" s="331">
        <v>2</v>
      </c>
      <c r="E37" s="332" t="s">
        <v>179</v>
      </c>
      <c r="F37" s="318" t="s">
        <v>405</v>
      </c>
      <c r="G37" s="319" t="s">
        <v>244</v>
      </c>
      <c r="H37" s="180" t="str">
        <f>VLOOKUP(E37,MD!$C$6:$K$102,3,0)</f>
        <v>撈碧鵰</v>
      </c>
      <c r="I37" s="196" t="s">
        <v>405</v>
      </c>
      <c r="J37" s="180">
        <f>VLOOKUP(G37,MD!$C$6:$K$102,3,0)</f>
        <v>1987.5</v>
      </c>
      <c r="K37" s="197">
        <v>0</v>
      </c>
      <c r="L37" s="180">
        <f>7+13</f>
        <v>20</v>
      </c>
      <c r="M37" s="180">
        <f>21+21</f>
        <v>42</v>
      </c>
      <c r="N37" s="180">
        <v>2</v>
      </c>
      <c r="O37" s="188" t="s">
        <v>547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20.100000000000001" customHeight="1">
      <c r="A38" s="200" t="e">
        <f>IF(#REF!&lt;&gt;#REF!,#REF!,"")</f>
        <v>#REF!</v>
      </c>
      <c r="B38" s="328">
        <v>33</v>
      </c>
      <c r="C38" s="316" t="s">
        <v>439</v>
      </c>
      <c r="D38" s="317">
        <v>3</v>
      </c>
      <c r="E38" s="318" t="s">
        <v>149</v>
      </c>
      <c r="F38" s="318" t="s">
        <v>405</v>
      </c>
      <c r="G38" s="318" t="s">
        <v>244</v>
      </c>
      <c r="H38" s="180" t="str">
        <f>VLOOKUP(E38,MD!$C$6:$K$102,3,0)</f>
        <v>SCAA YA</v>
      </c>
      <c r="I38" s="196" t="s">
        <v>405</v>
      </c>
      <c r="J38" s="180">
        <f>VLOOKUP(G38,MD!$C$6:$K$102,3,0)</f>
        <v>1987.5</v>
      </c>
      <c r="K38" s="197">
        <v>2</v>
      </c>
      <c r="L38" s="180">
        <f>21+23</f>
        <v>44</v>
      </c>
      <c r="M38" s="180">
        <f>19+21</f>
        <v>40</v>
      </c>
      <c r="N38" s="180">
        <v>0</v>
      </c>
      <c r="O38" s="188" t="s">
        <v>502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20.100000000000001" customHeight="1">
      <c r="A39" s="200" t="e">
        <f>IF(#REF!&lt;&gt;#REF!,#REF!,"")</f>
        <v>#REF!</v>
      </c>
      <c r="B39" s="328">
        <v>34</v>
      </c>
      <c r="C39" s="316" t="s">
        <v>439</v>
      </c>
      <c r="D39" s="331">
        <v>4</v>
      </c>
      <c r="E39" s="332" t="s">
        <v>179</v>
      </c>
      <c r="F39" s="318" t="s">
        <v>405</v>
      </c>
      <c r="G39" s="319" t="s">
        <v>269</v>
      </c>
      <c r="H39" s="180" t="str">
        <f>VLOOKUP(E39,MD!$C$6:$K$102,3,0)</f>
        <v>撈碧鵰</v>
      </c>
      <c r="I39" s="196" t="s">
        <v>405</v>
      </c>
      <c r="J39" s="180" t="str">
        <f>VLOOKUP(G39,MD!$C$6:$K$102,3,0)</f>
        <v>SCAA 99</v>
      </c>
      <c r="K39" s="197">
        <v>2</v>
      </c>
      <c r="L39" s="180">
        <v>42</v>
      </c>
      <c r="M39" s="180">
        <v>0</v>
      </c>
      <c r="N39" s="180">
        <v>0</v>
      </c>
      <c r="O39" s="188" t="s">
        <v>546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20.100000000000001" customHeight="1">
      <c r="A40" s="200" t="e">
        <f>IF(#REF!&lt;&gt;#REF!,#REF!,"")</f>
        <v>#REF!</v>
      </c>
      <c r="B40" s="326">
        <v>35</v>
      </c>
      <c r="C40" s="316" t="s">
        <v>439</v>
      </c>
      <c r="D40" s="331">
        <v>5</v>
      </c>
      <c r="E40" s="332" t="s">
        <v>244</v>
      </c>
      <c r="F40" s="318" t="s">
        <v>405</v>
      </c>
      <c r="G40" s="319" t="s">
        <v>269</v>
      </c>
      <c r="H40" s="180">
        <f>VLOOKUP(E40,MD!$C$6:$K$102,3,0)</f>
        <v>1987.5</v>
      </c>
      <c r="I40" s="196" t="s">
        <v>405</v>
      </c>
      <c r="J40" s="180" t="str">
        <f>VLOOKUP(G40,MD!$C$6:$K$102,3,0)</f>
        <v>SCAA 99</v>
      </c>
      <c r="K40" s="197">
        <v>2</v>
      </c>
      <c r="L40" s="180">
        <v>42</v>
      </c>
      <c r="M40" s="180">
        <v>0</v>
      </c>
      <c r="N40" s="180">
        <v>0</v>
      </c>
      <c r="O40" s="188" t="s">
        <v>546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20.100000000000001" customHeight="1">
      <c r="A41" s="200" t="e">
        <f>IF(#REF!&lt;&gt;#REF!,#REF!,"")</f>
        <v>#REF!</v>
      </c>
      <c r="B41" s="328">
        <v>36</v>
      </c>
      <c r="C41" s="323" t="s">
        <v>439</v>
      </c>
      <c r="D41" s="324">
        <v>6</v>
      </c>
      <c r="E41" s="335" t="s">
        <v>149</v>
      </c>
      <c r="F41" s="325" t="s">
        <v>405</v>
      </c>
      <c r="G41" s="325" t="s">
        <v>179</v>
      </c>
      <c r="H41" s="180" t="str">
        <f>VLOOKUP(E41,MD!$C$6:$K$102,3,0)</f>
        <v>SCAA YA</v>
      </c>
      <c r="I41" s="196" t="s">
        <v>405</v>
      </c>
      <c r="J41" s="180" t="str">
        <f>VLOOKUP(G41,MD!$C$6:$K$102,3,0)</f>
        <v>撈碧鵰</v>
      </c>
      <c r="K41" s="197">
        <v>2</v>
      </c>
      <c r="L41" s="180">
        <f>21+21</f>
        <v>42</v>
      </c>
      <c r="M41" s="180">
        <f>13+12</f>
        <v>25</v>
      </c>
      <c r="N41" s="180">
        <v>0</v>
      </c>
      <c r="O41" s="188" t="s">
        <v>548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20.100000000000001" customHeight="1">
      <c r="A42" s="200" t="e">
        <f>IF(#REF!&lt;&gt;#REF!,#REF!,"")</f>
        <v>#REF!</v>
      </c>
      <c r="B42" s="326">
        <v>37</v>
      </c>
      <c r="C42" s="336" t="s">
        <v>440</v>
      </c>
      <c r="D42" s="331">
        <v>1</v>
      </c>
      <c r="E42" s="310" t="s">
        <v>155</v>
      </c>
      <c r="F42" s="313" t="s">
        <v>405</v>
      </c>
      <c r="G42" s="313" t="s">
        <v>286</v>
      </c>
      <c r="H42" s="180" t="str">
        <f>VLOOKUP(E42,MD!$C$6:$K$102,3,0)</f>
        <v>Zlatan</v>
      </c>
      <c r="I42" s="196" t="s">
        <v>405</v>
      </c>
      <c r="J42" s="180" t="str">
        <f>VLOOKUP(G42,MD!$C$6:$K$102,3,0)</f>
        <v>SCAA x CSUN</v>
      </c>
      <c r="K42" s="197" t="s">
        <v>520</v>
      </c>
      <c r="L42" s="196" t="s">
        <v>520</v>
      </c>
      <c r="M42" s="196" t="s">
        <v>520</v>
      </c>
      <c r="N42" s="196" t="s">
        <v>520</v>
      </c>
      <c r="O42" s="188" t="s">
        <v>521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20.100000000000001" customHeight="1">
      <c r="A43" s="200" t="e">
        <f>IF(#REF!&lt;&gt;#REF!,#REF!,"")</f>
        <v>#REF!</v>
      </c>
      <c r="B43" s="328">
        <v>38</v>
      </c>
      <c r="C43" s="336" t="s">
        <v>440</v>
      </c>
      <c r="D43" s="331">
        <v>2</v>
      </c>
      <c r="E43" s="332" t="s">
        <v>173</v>
      </c>
      <c r="F43" s="318" t="s">
        <v>405</v>
      </c>
      <c r="G43" s="319" t="s">
        <v>250</v>
      </c>
      <c r="H43" s="180" t="str">
        <f>VLOOKUP(E43,MD!$C$6:$K$102,3,0)</f>
        <v>紅藍</v>
      </c>
      <c r="I43" s="196" t="s">
        <v>405</v>
      </c>
      <c r="J43" s="180" t="str">
        <f>VLOOKUP(G43,MD!$C$6:$K$102,3,0)</f>
        <v>企拍</v>
      </c>
      <c r="K43" s="197">
        <v>2</v>
      </c>
      <c r="L43" s="180">
        <f>21+23</f>
        <v>44</v>
      </c>
      <c r="M43" s="180">
        <f>19+21</f>
        <v>40</v>
      </c>
      <c r="N43" s="180">
        <v>0</v>
      </c>
      <c r="O43" s="188" t="s">
        <v>502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20.100000000000001" customHeight="1">
      <c r="A44" s="200" t="e">
        <f>IF(#REF!&lt;&gt;#REF!,#REF!,"")</f>
        <v>#REF!</v>
      </c>
      <c r="B44" s="328">
        <v>39</v>
      </c>
      <c r="C44" s="316" t="s">
        <v>440</v>
      </c>
      <c r="D44" s="317">
        <v>3</v>
      </c>
      <c r="E44" s="318" t="s">
        <v>155</v>
      </c>
      <c r="F44" s="318" t="s">
        <v>405</v>
      </c>
      <c r="G44" s="318" t="s">
        <v>250</v>
      </c>
      <c r="H44" s="180" t="str">
        <f>VLOOKUP(E44,MD!$C$6:$K$102,3,0)</f>
        <v>Zlatan</v>
      </c>
      <c r="I44" s="196" t="s">
        <v>405</v>
      </c>
      <c r="J44" s="180" t="str">
        <f>VLOOKUP(G44,MD!$C$6:$K$102,3,0)</f>
        <v>企拍</v>
      </c>
      <c r="K44" s="197">
        <v>0</v>
      </c>
      <c r="L44" s="180">
        <v>0</v>
      </c>
      <c r="M44" s="180">
        <v>42</v>
      </c>
      <c r="N44" s="180">
        <v>2</v>
      </c>
      <c r="O44" s="188" t="s">
        <v>549</v>
      </c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20.100000000000001" customHeight="1">
      <c r="A45" s="200" t="e">
        <f>IF(#REF!&lt;&gt;#REF!,#REF!,"")</f>
        <v>#REF!</v>
      </c>
      <c r="B45" s="328">
        <v>40</v>
      </c>
      <c r="C45" s="336" t="s">
        <v>440</v>
      </c>
      <c r="D45" s="331">
        <v>4</v>
      </c>
      <c r="E45" s="332" t="s">
        <v>173</v>
      </c>
      <c r="F45" s="318" t="s">
        <v>405</v>
      </c>
      <c r="G45" s="319" t="s">
        <v>286</v>
      </c>
      <c r="H45" s="180" t="str">
        <f>VLOOKUP(E45,MD!$C$6:$K$102,3,0)</f>
        <v>紅藍</v>
      </c>
      <c r="I45" s="196" t="s">
        <v>405</v>
      </c>
      <c r="J45" s="180" t="str">
        <f>VLOOKUP(G45,MD!$C$6:$K$102,3,0)</f>
        <v>SCAA x CSUN</v>
      </c>
      <c r="K45" s="197">
        <v>2</v>
      </c>
      <c r="L45" s="180">
        <v>42</v>
      </c>
      <c r="M45" s="180">
        <v>0</v>
      </c>
      <c r="N45" s="180">
        <v>0</v>
      </c>
      <c r="O45" s="188" t="s">
        <v>550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20.100000000000001" customHeight="1">
      <c r="B46" s="326">
        <v>41</v>
      </c>
      <c r="C46" s="336" t="s">
        <v>440</v>
      </c>
      <c r="D46" s="331">
        <v>5</v>
      </c>
      <c r="E46" s="332" t="s">
        <v>250</v>
      </c>
      <c r="F46" s="318" t="s">
        <v>405</v>
      </c>
      <c r="G46" s="319" t="s">
        <v>286</v>
      </c>
      <c r="H46" s="180" t="str">
        <f>VLOOKUP(E46,MD!$C$6:$K$102,3,0)</f>
        <v>企拍</v>
      </c>
      <c r="I46" s="196" t="s">
        <v>405</v>
      </c>
      <c r="J46" s="180" t="str">
        <f>VLOOKUP(G46,MD!$C$6:$K$102,3,0)</f>
        <v>SCAA x CSUN</v>
      </c>
      <c r="K46" s="197">
        <v>2</v>
      </c>
      <c r="L46" s="180">
        <v>42</v>
      </c>
      <c r="M46" s="180">
        <v>0</v>
      </c>
      <c r="N46" s="180">
        <v>0</v>
      </c>
      <c r="O46" s="188" t="s">
        <v>550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20.100000000000001" customHeight="1">
      <c r="B47" s="328">
        <v>42</v>
      </c>
      <c r="C47" s="323" t="s">
        <v>440</v>
      </c>
      <c r="D47" s="324">
        <v>6</v>
      </c>
      <c r="E47" s="335" t="s">
        <v>155</v>
      </c>
      <c r="F47" s="325" t="s">
        <v>405</v>
      </c>
      <c r="G47" s="325" t="s">
        <v>173</v>
      </c>
      <c r="H47" s="180" t="str">
        <f>VLOOKUP(E47,MD!$C$6:$K$102,3,0)</f>
        <v>Zlatan</v>
      </c>
      <c r="I47" s="196" t="s">
        <v>405</v>
      </c>
      <c r="J47" s="180" t="str">
        <f>VLOOKUP(G47,MD!$C$6:$K$102,3,0)</f>
        <v>紅藍</v>
      </c>
      <c r="K47" s="197">
        <v>0</v>
      </c>
      <c r="L47" s="180">
        <v>0</v>
      </c>
      <c r="M47" s="180">
        <v>42</v>
      </c>
      <c r="N47" s="180">
        <v>2</v>
      </c>
      <c r="O47" s="188" t="s">
        <v>549</v>
      </c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20.100000000000001" customHeight="1">
      <c r="B48" s="326">
        <v>43</v>
      </c>
      <c r="C48" s="336" t="s">
        <v>441</v>
      </c>
      <c r="D48" s="331">
        <v>1</v>
      </c>
      <c r="E48" s="332" t="s">
        <v>161</v>
      </c>
      <c r="F48" s="318" t="s">
        <v>405</v>
      </c>
      <c r="G48" s="319" t="s">
        <v>262</v>
      </c>
      <c r="H48" s="180" t="str">
        <f>VLOOKUP(E48,MD!$C$6:$K$102,3,0)</f>
        <v>ALPS_我要買GTR</v>
      </c>
      <c r="I48" s="196" t="s">
        <v>405</v>
      </c>
      <c r="J48" s="180" t="str">
        <f>VLOOKUP(G48,MD!$C$6:$K$102,3,0)</f>
        <v>ALPS - 平均米九</v>
      </c>
      <c r="K48" s="197">
        <v>0</v>
      </c>
      <c r="L48" s="180">
        <f>16+16</f>
        <v>32</v>
      </c>
      <c r="M48" s="180">
        <f>21+21</f>
        <v>42</v>
      </c>
      <c r="N48" s="180">
        <v>2</v>
      </c>
      <c r="O48" s="188" t="s">
        <v>551</v>
      </c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2:29" ht="20.100000000000001" customHeight="1">
      <c r="B49" s="328">
        <v>44</v>
      </c>
      <c r="C49" s="336" t="s">
        <v>441</v>
      </c>
      <c r="D49" s="331">
        <v>2</v>
      </c>
      <c r="E49" s="332" t="s">
        <v>167</v>
      </c>
      <c r="F49" s="318" t="s">
        <v>405</v>
      </c>
      <c r="G49" s="319" t="s">
        <v>256</v>
      </c>
      <c r="H49" s="180" t="str">
        <f>VLOOKUP(E49,MD!$C$6:$K$102,3,0)</f>
        <v>FS</v>
      </c>
      <c r="I49" s="196" t="s">
        <v>405</v>
      </c>
      <c r="J49" s="180" t="str">
        <f>VLOOKUP(G49,MD!$C$6:$K$102,3,0)</f>
        <v>LSC</v>
      </c>
      <c r="K49" s="197">
        <v>0</v>
      </c>
      <c r="L49" s="180">
        <v>0</v>
      </c>
      <c r="M49" s="180">
        <v>42</v>
      </c>
      <c r="N49" s="180">
        <v>2</v>
      </c>
      <c r="O49" s="188" t="s">
        <v>552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2:29" ht="20.100000000000001" customHeight="1">
      <c r="B50" s="328">
        <v>45</v>
      </c>
      <c r="C50" s="316" t="s">
        <v>441</v>
      </c>
      <c r="D50" s="317">
        <v>3</v>
      </c>
      <c r="E50" s="318" t="s">
        <v>161</v>
      </c>
      <c r="F50" s="318" t="s">
        <v>405</v>
      </c>
      <c r="G50" s="318" t="s">
        <v>256</v>
      </c>
      <c r="H50" s="180" t="str">
        <f>VLOOKUP(E50,MD!$C$6:$K$102,3,0)</f>
        <v>ALPS_我要買GTR</v>
      </c>
      <c r="I50" s="196" t="s">
        <v>405</v>
      </c>
      <c r="J50" s="180" t="str">
        <f>VLOOKUP(G50,MD!$C$6:$K$102,3,0)</f>
        <v>LSC</v>
      </c>
      <c r="K50" s="197">
        <v>2</v>
      </c>
      <c r="L50" s="180">
        <f>21+21</f>
        <v>42</v>
      </c>
      <c r="M50" s="180">
        <f>16+16</f>
        <v>32</v>
      </c>
      <c r="N50" s="180">
        <v>0</v>
      </c>
      <c r="O50" s="188" t="s">
        <v>553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2:29" ht="20.100000000000001" customHeight="1">
      <c r="B51" s="328">
        <v>46</v>
      </c>
      <c r="C51" s="336" t="s">
        <v>441</v>
      </c>
      <c r="D51" s="331">
        <v>4</v>
      </c>
      <c r="E51" s="332" t="s">
        <v>167</v>
      </c>
      <c r="F51" s="318" t="s">
        <v>405</v>
      </c>
      <c r="G51" s="319" t="s">
        <v>262</v>
      </c>
      <c r="H51" s="180" t="str">
        <f>VLOOKUP(E51,MD!$C$6:$K$102,3,0)</f>
        <v>FS</v>
      </c>
      <c r="I51" s="196" t="s">
        <v>405</v>
      </c>
      <c r="J51" s="180" t="str">
        <f>VLOOKUP(G51,MD!$C$6:$K$102,3,0)</f>
        <v>ALPS - 平均米九</v>
      </c>
      <c r="K51" s="197">
        <v>0</v>
      </c>
      <c r="L51" s="180">
        <v>0</v>
      </c>
      <c r="M51" s="180">
        <v>42</v>
      </c>
      <c r="N51" s="180">
        <v>2</v>
      </c>
      <c r="O51" s="188" t="s">
        <v>552</v>
      </c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2:29" ht="20.100000000000001" customHeight="1">
      <c r="B52" s="326">
        <v>47</v>
      </c>
      <c r="C52" s="336" t="s">
        <v>441</v>
      </c>
      <c r="D52" s="331">
        <v>5</v>
      </c>
      <c r="E52" s="332" t="s">
        <v>256</v>
      </c>
      <c r="F52" s="318" t="s">
        <v>405</v>
      </c>
      <c r="G52" s="319" t="s">
        <v>262</v>
      </c>
      <c r="H52" s="180" t="str">
        <f>VLOOKUP(E52,MD!$C$6:$K$102,3,0)</f>
        <v>LSC</v>
      </c>
      <c r="I52" s="196" t="s">
        <v>405</v>
      </c>
      <c r="J52" s="180" t="str">
        <f>VLOOKUP(G52,MD!$C$6:$K$102,3,0)</f>
        <v>ALPS - 平均米九</v>
      </c>
      <c r="K52" s="197">
        <v>0</v>
      </c>
      <c r="L52" s="180">
        <v>0</v>
      </c>
      <c r="M52" s="180">
        <v>42</v>
      </c>
      <c r="N52" s="180">
        <v>2</v>
      </c>
      <c r="O52" s="188" t="s">
        <v>554</v>
      </c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2:29" ht="20.100000000000001" customHeight="1">
      <c r="B53" s="328">
        <v>48</v>
      </c>
      <c r="C53" s="337" t="s">
        <v>441</v>
      </c>
      <c r="D53" s="324">
        <v>6</v>
      </c>
      <c r="E53" s="335" t="s">
        <v>161</v>
      </c>
      <c r="F53" s="325" t="s">
        <v>405</v>
      </c>
      <c r="G53" s="325" t="s">
        <v>167</v>
      </c>
      <c r="H53" s="180" t="str">
        <f>VLOOKUP(E53,MD!$C$6:$K$102,3,0)</f>
        <v>ALPS_我要買GTR</v>
      </c>
      <c r="I53" s="196" t="s">
        <v>405</v>
      </c>
      <c r="J53" s="180" t="str">
        <f>VLOOKUP(G53,MD!$C$6:$K$102,3,0)</f>
        <v>FS</v>
      </c>
      <c r="K53" s="197">
        <v>2</v>
      </c>
      <c r="L53" s="180">
        <v>42</v>
      </c>
      <c r="M53" s="180">
        <v>0</v>
      </c>
      <c r="N53" s="180">
        <v>0</v>
      </c>
      <c r="O53" s="188" t="s">
        <v>552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2:29" hidden="1">
      <c r="B54" s="228"/>
      <c r="C54" s="228"/>
      <c r="D54" s="228"/>
      <c r="E54" s="228"/>
      <c r="F54" s="228"/>
      <c r="G54" s="228"/>
      <c r="H54" s="174" t="e">
        <f>VLOOKUP(E54,#REF!,3,0)</f>
        <v>#REF!</v>
      </c>
      <c r="J54" s="174">
        <f>VLOOKUP(G54,MD!$C$6:$K$102,3,0)</f>
        <v>0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2:29"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</sheetData>
  <mergeCells count="4">
    <mergeCell ref="C4:D4"/>
    <mergeCell ref="E4:G4"/>
    <mergeCell ref="C5:D5"/>
    <mergeCell ref="E5:G5"/>
  </mergeCells>
  <phoneticPr fontId="118" type="noConversion"/>
  <printOptions horizontalCentered="1" verticalCentered="1"/>
  <pageMargins left="0" right="0" top="0" bottom="0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77"/>
  <sheetViews>
    <sheetView zoomScale="70" zoomScaleNormal="70" workbookViewId="0">
      <selection activeCell="I9" activeCellId="7" sqref="F6 I6 F7 I7 F8 I8 F9 I9"/>
    </sheetView>
  </sheetViews>
  <sheetFormatPr defaultRowHeight="22.5"/>
  <cols>
    <col min="1" max="1" width="3.6640625" style="20" customWidth="1"/>
    <col min="2" max="4" width="9" style="20" customWidth="1"/>
    <col min="5" max="5" width="26.109375" style="117" customWidth="1"/>
    <col min="6" max="6" width="17.5546875" style="117" customWidth="1"/>
    <col min="7" max="7" width="11.6640625" style="117" hidden="1" customWidth="1"/>
    <col min="8" max="8" width="8.88671875" style="117" customWidth="1"/>
    <col min="9" max="9" width="17.5546875" style="117" customWidth="1"/>
    <col min="10" max="10" width="11.6640625" style="117" hidden="1" customWidth="1"/>
    <col min="11" max="11" width="7.33203125" style="117" customWidth="1"/>
    <col min="12" max="12" width="13.6640625" style="117" customWidth="1"/>
    <col min="13" max="13" width="17.33203125" style="20" customWidth="1"/>
    <col min="14" max="14" width="29.33203125" style="15" customWidth="1"/>
    <col min="15" max="15" width="6" style="20" customWidth="1"/>
    <col min="16" max="17" width="10.44140625" style="20" hidden="1" customWidth="1"/>
    <col min="18" max="1025" width="7.6640625" style="20" customWidth="1"/>
  </cols>
  <sheetData>
    <row r="1" spans="2:19" ht="21" customHeight="1">
      <c r="B1" s="16" t="s">
        <v>45</v>
      </c>
      <c r="C1" s="17"/>
      <c r="D1" s="17"/>
      <c r="E1" s="15"/>
      <c r="F1" s="18"/>
      <c r="G1" s="18"/>
      <c r="H1" s="18"/>
      <c r="I1" s="18"/>
      <c r="J1" s="18"/>
      <c r="K1" s="18"/>
      <c r="L1" s="18"/>
      <c r="M1" s="19"/>
    </row>
    <row r="2" spans="2:19" ht="21" customHeight="1">
      <c r="B2" s="21" t="s">
        <v>46</v>
      </c>
      <c r="C2" s="21"/>
      <c r="D2" s="21"/>
      <c r="E2" s="18"/>
      <c r="F2" s="18"/>
      <c r="G2" s="18"/>
      <c r="H2" s="18"/>
      <c r="I2" s="18"/>
      <c r="J2" s="18"/>
      <c r="K2" s="22"/>
      <c r="L2" s="22"/>
      <c r="M2" s="19"/>
    </row>
    <row r="3" spans="2:19" ht="21" customHeight="1">
      <c r="B3" s="23" t="s">
        <v>47</v>
      </c>
      <c r="C3" s="24"/>
      <c r="D3" s="24"/>
      <c r="E3" s="15"/>
      <c r="F3" s="22"/>
      <c r="G3" s="22"/>
      <c r="H3" s="22"/>
      <c r="I3" s="22"/>
      <c r="J3" s="22"/>
      <c r="K3" s="22"/>
      <c r="L3" s="22"/>
      <c r="M3" s="338"/>
      <c r="N3" s="26"/>
      <c r="O3" s="27"/>
    </row>
    <row r="4" spans="2:19" ht="21" customHeight="1">
      <c r="B4" s="28" t="s">
        <v>48</v>
      </c>
      <c r="C4" s="29" t="s">
        <v>49</v>
      </c>
      <c r="D4" s="30" t="s">
        <v>50</v>
      </c>
      <c r="E4" s="31" t="s">
        <v>51</v>
      </c>
      <c r="F4" s="32"/>
      <c r="G4" s="33"/>
      <c r="H4" s="34" t="s">
        <v>52</v>
      </c>
      <c r="I4" s="32"/>
      <c r="J4" s="33"/>
      <c r="K4" s="34" t="s">
        <v>52</v>
      </c>
      <c r="L4" s="339" t="s">
        <v>53</v>
      </c>
      <c r="M4" s="31" t="s">
        <v>54</v>
      </c>
      <c r="N4" s="29"/>
      <c r="O4" s="87"/>
    </row>
    <row r="5" spans="2:19" ht="21" customHeight="1">
      <c r="B5" s="39" t="s">
        <v>55</v>
      </c>
      <c r="C5" s="40" t="s">
        <v>56</v>
      </c>
      <c r="D5" s="41" t="s">
        <v>57</v>
      </c>
      <c r="E5" s="42" t="s">
        <v>58</v>
      </c>
      <c r="F5" s="43" t="s">
        <v>59</v>
      </c>
      <c r="G5" s="43" t="s">
        <v>60</v>
      </c>
      <c r="H5" s="44" t="s">
        <v>61</v>
      </c>
      <c r="I5" s="43" t="s">
        <v>62</v>
      </c>
      <c r="J5" s="43" t="s">
        <v>60</v>
      </c>
      <c r="K5" s="44" t="s">
        <v>61</v>
      </c>
      <c r="L5" s="340" t="s">
        <v>61</v>
      </c>
      <c r="M5" s="42" t="s">
        <v>56</v>
      </c>
      <c r="N5" s="29"/>
      <c r="O5" s="341" t="s">
        <v>63</v>
      </c>
      <c r="P5" s="47" t="s">
        <v>64</v>
      </c>
      <c r="Q5" s="47" t="s">
        <v>65</v>
      </c>
      <c r="R5" s="19"/>
      <c r="S5" s="19"/>
    </row>
    <row r="6" spans="2:19" ht="20.100000000000001" customHeight="1">
      <c r="B6" s="342">
        <v>1</v>
      </c>
      <c r="C6" s="343" t="str">
        <f t="shared" ref="C6:C37" si="0">M6</f>
        <v>AA1</v>
      </c>
      <c r="D6" s="343">
        <v>1</v>
      </c>
      <c r="E6" s="50" t="s">
        <v>555</v>
      </c>
      <c r="F6" s="344" t="s">
        <v>556</v>
      </c>
      <c r="G6" s="50" t="s">
        <v>557</v>
      </c>
      <c r="H6" s="50">
        <v>117</v>
      </c>
      <c r="I6" s="344" t="s">
        <v>558</v>
      </c>
      <c r="J6" s="50" t="s">
        <v>559</v>
      </c>
      <c r="K6" s="50">
        <v>117</v>
      </c>
      <c r="L6" s="345">
        <f t="shared" ref="L6:L32" si="1">H6+K6</f>
        <v>234</v>
      </c>
      <c r="M6" s="346" t="s">
        <v>71</v>
      </c>
      <c r="N6" s="66"/>
      <c r="O6" s="87"/>
      <c r="P6" s="117"/>
      <c r="Q6" s="117">
        <f t="shared" ref="Q6:Q32" si="2">P6/2</f>
        <v>0</v>
      </c>
    </row>
    <row r="7" spans="2:19" ht="20.100000000000001" customHeight="1">
      <c r="B7" s="347">
        <v>2</v>
      </c>
      <c r="C7" s="348" t="str">
        <f t="shared" si="0"/>
        <v>AA2</v>
      </c>
      <c r="D7" s="348">
        <v>2</v>
      </c>
      <c r="E7" s="349" t="s">
        <v>560</v>
      </c>
      <c r="F7" s="349" t="s">
        <v>561</v>
      </c>
      <c r="G7" s="59" t="s">
        <v>562</v>
      </c>
      <c r="H7" s="59">
        <v>112.5</v>
      </c>
      <c r="I7" s="349" t="s">
        <v>563</v>
      </c>
      <c r="J7" s="59" t="s">
        <v>564</v>
      </c>
      <c r="K7" s="59">
        <v>111</v>
      </c>
      <c r="L7" s="350">
        <f t="shared" si="1"/>
        <v>223.5</v>
      </c>
      <c r="M7" s="351" t="s">
        <v>77</v>
      </c>
      <c r="N7" s="66"/>
      <c r="O7" s="87"/>
      <c r="P7" s="117"/>
      <c r="Q7" s="117">
        <f t="shared" si="2"/>
        <v>0</v>
      </c>
    </row>
    <row r="8" spans="2:19" ht="20.100000000000001" customHeight="1">
      <c r="B8" s="352">
        <v>3</v>
      </c>
      <c r="C8" s="348" t="str">
        <f t="shared" si="0"/>
        <v>AA3</v>
      </c>
      <c r="D8" s="348">
        <v>3</v>
      </c>
      <c r="E8" s="349" t="s">
        <v>565</v>
      </c>
      <c r="F8" s="349" t="s">
        <v>566</v>
      </c>
      <c r="G8" s="59" t="s">
        <v>567</v>
      </c>
      <c r="H8" s="59">
        <v>98.5</v>
      </c>
      <c r="I8" s="349" t="s">
        <v>568</v>
      </c>
      <c r="J8" s="59" t="s">
        <v>569</v>
      </c>
      <c r="K8" s="59">
        <v>98.5</v>
      </c>
      <c r="L8" s="350">
        <f t="shared" si="1"/>
        <v>197</v>
      </c>
      <c r="M8" s="351" t="s">
        <v>83</v>
      </c>
      <c r="N8" s="66"/>
      <c r="O8" s="87"/>
      <c r="P8" s="117"/>
      <c r="Q8" s="117">
        <f t="shared" si="2"/>
        <v>0</v>
      </c>
    </row>
    <row r="9" spans="2:19" ht="20.100000000000001" customHeight="1">
      <c r="B9" s="347">
        <v>5</v>
      </c>
      <c r="C9" s="348" t="str">
        <f t="shared" si="0"/>
        <v>AA4</v>
      </c>
      <c r="D9" s="348">
        <v>4</v>
      </c>
      <c r="E9" s="59" t="s">
        <v>570</v>
      </c>
      <c r="F9" s="349" t="s">
        <v>571</v>
      </c>
      <c r="G9" s="59" t="s">
        <v>572</v>
      </c>
      <c r="H9" s="59">
        <v>82.5</v>
      </c>
      <c r="I9" s="349" t="s">
        <v>573</v>
      </c>
      <c r="J9" s="59" t="s">
        <v>574</v>
      </c>
      <c r="K9" s="59">
        <v>90</v>
      </c>
      <c r="L9" s="350">
        <f t="shared" si="1"/>
        <v>172.5</v>
      </c>
      <c r="M9" s="351" t="s">
        <v>89</v>
      </c>
      <c r="N9" s="66"/>
      <c r="O9" s="87"/>
      <c r="P9" s="117"/>
      <c r="Q9" s="117">
        <f t="shared" si="2"/>
        <v>0</v>
      </c>
    </row>
    <row r="10" spans="2:19" ht="20.100000000000001" customHeight="1">
      <c r="B10" s="347">
        <v>4</v>
      </c>
      <c r="C10" s="348" t="str">
        <f t="shared" si="0"/>
        <v>AA5</v>
      </c>
      <c r="D10" s="348">
        <v>5</v>
      </c>
      <c r="E10" s="59" t="s">
        <v>575</v>
      </c>
      <c r="F10" s="349" t="s">
        <v>576</v>
      </c>
      <c r="G10" s="59" t="s">
        <v>577</v>
      </c>
      <c r="H10" s="59">
        <v>93</v>
      </c>
      <c r="I10" s="349" t="s">
        <v>578</v>
      </c>
      <c r="J10" s="59" t="s">
        <v>579</v>
      </c>
      <c r="K10" s="59">
        <v>78</v>
      </c>
      <c r="L10" s="350">
        <f t="shared" si="1"/>
        <v>171</v>
      </c>
      <c r="M10" s="351" t="s">
        <v>95</v>
      </c>
      <c r="N10" s="66"/>
      <c r="O10" s="87"/>
      <c r="P10" s="117">
        <v>96</v>
      </c>
      <c r="Q10" s="117">
        <f t="shared" si="2"/>
        <v>48</v>
      </c>
    </row>
    <row r="11" spans="2:19" ht="20.100000000000001" customHeight="1">
      <c r="B11" s="347">
        <v>6</v>
      </c>
      <c r="C11" s="348" t="str">
        <f t="shared" si="0"/>
        <v>AA6</v>
      </c>
      <c r="D11" s="348">
        <v>6</v>
      </c>
      <c r="E11" s="59" t="s">
        <v>580</v>
      </c>
      <c r="F11" s="349" t="s">
        <v>581</v>
      </c>
      <c r="G11" s="59" t="s">
        <v>582</v>
      </c>
      <c r="H11" s="59">
        <v>83.5</v>
      </c>
      <c r="I11" s="349" t="s">
        <v>583</v>
      </c>
      <c r="J11" s="59" t="s">
        <v>584</v>
      </c>
      <c r="K11" s="59">
        <v>76.5</v>
      </c>
      <c r="L11" s="350">
        <f t="shared" si="1"/>
        <v>160</v>
      </c>
      <c r="M11" s="351" t="s">
        <v>101</v>
      </c>
      <c r="N11" s="66"/>
      <c r="O11" s="87"/>
      <c r="P11" s="117">
        <v>90</v>
      </c>
      <c r="Q11" s="117">
        <f t="shared" si="2"/>
        <v>45</v>
      </c>
    </row>
    <row r="12" spans="2:19" ht="20.100000000000001" customHeight="1">
      <c r="B12" s="347">
        <v>7</v>
      </c>
      <c r="C12" s="348" t="str">
        <f t="shared" si="0"/>
        <v>AA7</v>
      </c>
      <c r="D12" s="348">
        <v>7</v>
      </c>
      <c r="E12" s="59" t="s">
        <v>585</v>
      </c>
      <c r="F12" s="349" t="s">
        <v>586</v>
      </c>
      <c r="G12" s="59" t="s">
        <v>587</v>
      </c>
      <c r="H12" s="59">
        <v>66</v>
      </c>
      <c r="I12" s="349" t="s">
        <v>588</v>
      </c>
      <c r="J12" s="59" t="s">
        <v>589</v>
      </c>
      <c r="K12" s="59">
        <v>66</v>
      </c>
      <c r="L12" s="350">
        <f t="shared" si="1"/>
        <v>132</v>
      </c>
      <c r="M12" s="351" t="s">
        <v>107</v>
      </c>
      <c r="N12" s="66"/>
      <c r="O12" s="87"/>
      <c r="P12" s="117">
        <v>84</v>
      </c>
      <c r="Q12" s="117">
        <f t="shared" si="2"/>
        <v>42</v>
      </c>
    </row>
    <row r="13" spans="2:19" ht="20.100000000000001" customHeight="1">
      <c r="B13" s="353">
        <v>8</v>
      </c>
      <c r="C13" s="354" t="str">
        <f t="shared" si="0"/>
        <v>AA8</v>
      </c>
      <c r="D13" s="354">
        <v>8</v>
      </c>
      <c r="E13" s="70" t="s">
        <v>590</v>
      </c>
      <c r="F13" s="355" t="s">
        <v>591</v>
      </c>
      <c r="G13" s="70" t="s">
        <v>592</v>
      </c>
      <c r="H13" s="70">
        <v>67.5</v>
      </c>
      <c r="I13" s="355" t="s">
        <v>593</v>
      </c>
      <c r="J13" s="70" t="s">
        <v>594</v>
      </c>
      <c r="K13" s="70">
        <v>60</v>
      </c>
      <c r="L13" s="356">
        <f t="shared" si="1"/>
        <v>127.5</v>
      </c>
      <c r="M13" s="357" t="s">
        <v>113</v>
      </c>
      <c r="N13" s="66"/>
      <c r="O13" s="87"/>
      <c r="P13" s="117">
        <v>78</v>
      </c>
      <c r="Q13" s="117">
        <f t="shared" si="2"/>
        <v>39</v>
      </c>
    </row>
    <row r="14" spans="2:19" ht="20.100000000000001" customHeight="1">
      <c r="B14" s="358">
        <v>9</v>
      </c>
      <c r="C14" s="80" t="str">
        <f t="shared" si="0"/>
        <v>A1</v>
      </c>
      <c r="D14" s="80">
        <v>9</v>
      </c>
      <c r="E14" s="80" t="s">
        <v>595</v>
      </c>
      <c r="F14" s="359" t="s">
        <v>596</v>
      </c>
      <c r="G14" s="80" t="s">
        <v>597</v>
      </c>
      <c r="H14" s="80">
        <v>48</v>
      </c>
      <c r="I14" s="359" t="s">
        <v>598</v>
      </c>
      <c r="J14" s="80" t="s">
        <v>599</v>
      </c>
      <c r="K14" s="80">
        <v>53</v>
      </c>
      <c r="L14" s="83">
        <f t="shared" si="1"/>
        <v>101</v>
      </c>
      <c r="M14" s="84" t="s">
        <v>119</v>
      </c>
      <c r="N14" s="66"/>
      <c r="O14" s="87"/>
      <c r="P14" s="117">
        <v>96</v>
      </c>
      <c r="Q14" s="117">
        <f t="shared" si="2"/>
        <v>48</v>
      </c>
    </row>
    <row r="15" spans="2:19" ht="20.100000000000001" customHeight="1">
      <c r="B15" s="358">
        <v>10</v>
      </c>
      <c r="C15" s="87" t="str">
        <f t="shared" si="0"/>
        <v>B1</v>
      </c>
      <c r="D15" s="87">
        <v>10</v>
      </c>
      <c r="E15" s="97" t="s">
        <v>600</v>
      </c>
      <c r="F15" s="97" t="s">
        <v>601</v>
      </c>
      <c r="G15" s="87" t="s">
        <v>602</v>
      </c>
      <c r="H15" s="88">
        <v>45</v>
      </c>
      <c r="I15" s="97" t="s">
        <v>603</v>
      </c>
      <c r="J15" s="87" t="s">
        <v>604</v>
      </c>
      <c r="K15" s="88">
        <v>45</v>
      </c>
      <c r="L15" s="90">
        <f t="shared" si="1"/>
        <v>90</v>
      </c>
      <c r="M15" s="65" t="s">
        <v>125</v>
      </c>
      <c r="N15" s="66"/>
      <c r="O15" s="87"/>
      <c r="P15" s="117">
        <v>54</v>
      </c>
      <c r="Q15" s="117">
        <f t="shared" si="2"/>
        <v>27</v>
      </c>
    </row>
    <row r="16" spans="2:19" ht="20.100000000000001" customHeight="1">
      <c r="B16" s="358">
        <v>11</v>
      </c>
      <c r="C16" s="87" t="str">
        <f t="shared" si="0"/>
        <v>C1</v>
      </c>
      <c r="D16" s="87">
        <v>11</v>
      </c>
      <c r="E16" s="87" t="s">
        <v>605</v>
      </c>
      <c r="F16" s="97" t="s">
        <v>606</v>
      </c>
      <c r="G16" s="87" t="s">
        <v>607</v>
      </c>
      <c r="H16" s="88">
        <v>41.25</v>
      </c>
      <c r="I16" s="97" t="s">
        <v>608</v>
      </c>
      <c r="J16" s="87" t="s">
        <v>609</v>
      </c>
      <c r="K16" s="88">
        <v>41.25</v>
      </c>
      <c r="L16" s="90">
        <f t="shared" si="1"/>
        <v>82.5</v>
      </c>
      <c r="M16" s="65" t="s">
        <v>131</v>
      </c>
      <c r="N16" s="66"/>
      <c r="O16" s="87"/>
      <c r="P16" s="117">
        <v>108</v>
      </c>
      <c r="Q16" s="117">
        <f t="shared" si="2"/>
        <v>54</v>
      </c>
    </row>
    <row r="17" spans="2:17" ht="19.5" customHeight="1">
      <c r="B17" s="358">
        <v>12</v>
      </c>
      <c r="C17" s="87" t="str">
        <f t="shared" si="0"/>
        <v>D1</v>
      </c>
      <c r="D17" s="87">
        <v>12</v>
      </c>
      <c r="E17" s="87" t="s">
        <v>610</v>
      </c>
      <c r="F17" s="97" t="s">
        <v>611</v>
      </c>
      <c r="G17" s="87" t="s">
        <v>612</v>
      </c>
      <c r="H17" s="88">
        <v>28.5</v>
      </c>
      <c r="I17" s="97" t="s">
        <v>613</v>
      </c>
      <c r="J17" s="87" t="s">
        <v>614</v>
      </c>
      <c r="K17" s="88">
        <v>37.5</v>
      </c>
      <c r="L17" s="90">
        <f t="shared" si="1"/>
        <v>66</v>
      </c>
      <c r="M17" s="65" t="s">
        <v>137</v>
      </c>
      <c r="N17" s="66"/>
      <c r="O17" s="87"/>
      <c r="P17" s="117">
        <v>0</v>
      </c>
      <c r="Q17" s="117">
        <f t="shared" si="2"/>
        <v>0</v>
      </c>
    </row>
    <row r="18" spans="2:17" ht="20.100000000000001" customHeight="1">
      <c r="B18" s="360">
        <v>13</v>
      </c>
      <c r="C18" s="87" t="str">
        <f t="shared" si="0"/>
        <v>E1</v>
      </c>
      <c r="D18" s="87">
        <v>13</v>
      </c>
      <c r="E18" s="87" t="s">
        <v>615</v>
      </c>
      <c r="F18" s="97" t="s">
        <v>616</v>
      </c>
      <c r="G18" s="87" t="s">
        <v>617</v>
      </c>
      <c r="H18" s="88">
        <v>30</v>
      </c>
      <c r="I18" s="97" t="s">
        <v>618</v>
      </c>
      <c r="J18" s="87" t="s">
        <v>619</v>
      </c>
      <c r="K18" s="88">
        <v>30</v>
      </c>
      <c r="L18" s="90">
        <f t="shared" si="1"/>
        <v>60</v>
      </c>
      <c r="M18" s="65" t="s">
        <v>143</v>
      </c>
      <c r="N18" s="66"/>
      <c r="O18" s="87"/>
      <c r="P18" s="117">
        <v>120</v>
      </c>
      <c r="Q18" s="117">
        <f t="shared" si="2"/>
        <v>60</v>
      </c>
    </row>
    <row r="19" spans="2:17" ht="20.100000000000001" customHeight="1">
      <c r="B19" s="358">
        <v>14</v>
      </c>
      <c r="C19" s="87" t="str">
        <f t="shared" si="0"/>
        <v>F1</v>
      </c>
      <c r="D19" s="87">
        <v>14</v>
      </c>
      <c r="E19" s="97" t="s">
        <v>620</v>
      </c>
      <c r="F19" s="97" t="s">
        <v>621</v>
      </c>
      <c r="G19" s="87" t="s">
        <v>622</v>
      </c>
      <c r="H19" s="88">
        <v>18</v>
      </c>
      <c r="I19" s="97" t="s">
        <v>623</v>
      </c>
      <c r="J19" s="87" t="s">
        <v>624</v>
      </c>
      <c r="K19" s="88">
        <v>18</v>
      </c>
      <c r="L19" s="90">
        <f t="shared" si="1"/>
        <v>36</v>
      </c>
      <c r="M19" s="65" t="s">
        <v>149</v>
      </c>
      <c r="N19" s="66"/>
      <c r="O19" s="87"/>
      <c r="P19" s="117">
        <v>0</v>
      </c>
      <c r="Q19" s="117">
        <f t="shared" si="2"/>
        <v>0</v>
      </c>
    </row>
    <row r="20" spans="2:17" ht="20.100000000000001" customHeight="1">
      <c r="B20" s="358">
        <v>15</v>
      </c>
      <c r="C20" s="87" t="str">
        <f t="shared" si="0"/>
        <v>F2</v>
      </c>
      <c r="D20" s="87">
        <v>15</v>
      </c>
      <c r="E20" s="87" t="s">
        <v>625</v>
      </c>
      <c r="F20" s="97" t="s">
        <v>626</v>
      </c>
      <c r="G20" s="87" t="s">
        <v>627</v>
      </c>
      <c r="H20" s="88">
        <v>13.5</v>
      </c>
      <c r="I20" s="97" t="s">
        <v>628</v>
      </c>
      <c r="J20" s="87" t="s">
        <v>629</v>
      </c>
      <c r="K20" s="88">
        <v>13.5</v>
      </c>
      <c r="L20" s="90">
        <f t="shared" si="1"/>
        <v>27</v>
      </c>
      <c r="M20" s="65" t="s">
        <v>179</v>
      </c>
      <c r="N20" s="361"/>
      <c r="O20" s="87"/>
      <c r="P20" s="117">
        <v>0</v>
      </c>
      <c r="Q20" s="117">
        <f t="shared" si="2"/>
        <v>0</v>
      </c>
    </row>
    <row r="21" spans="2:17" ht="20.100000000000001" customHeight="1">
      <c r="B21" s="360">
        <v>16</v>
      </c>
      <c r="C21" s="87" t="str">
        <f t="shared" si="0"/>
        <v>E2</v>
      </c>
      <c r="D21" s="87">
        <v>16</v>
      </c>
      <c r="E21" s="87" t="s">
        <v>630</v>
      </c>
      <c r="F21" s="97" t="s">
        <v>631</v>
      </c>
      <c r="G21" s="87" t="s">
        <v>632</v>
      </c>
      <c r="H21" s="88">
        <v>9</v>
      </c>
      <c r="I21" s="97" t="s">
        <v>633</v>
      </c>
      <c r="J21" s="87" t="s">
        <v>634</v>
      </c>
      <c r="K21" s="88">
        <v>9</v>
      </c>
      <c r="L21" s="90">
        <f t="shared" si="1"/>
        <v>18</v>
      </c>
      <c r="M21" s="65" t="s">
        <v>185</v>
      </c>
      <c r="N21" s="66"/>
      <c r="O21" s="87"/>
      <c r="P21" s="117">
        <v>0</v>
      </c>
      <c r="Q21" s="117">
        <f t="shared" si="2"/>
        <v>0</v>
      </c>
    </row>
    <row r="22" spans="2:17" ht="20.100000000000001" customHeight="1">
      <c r="B22" s="358">
        <v>17</v>
      </c>
      <c r="C22" s="87" t="str">
        <f t="shared" si="0"/>
        <v>D2</v>
      </c>
      <c r="D22" s="87">
        <v>17</v>
      </c>
      <c r="E22" s="87" t="s">
        <v>635</v>
      </c>
      <c r="F22" s="97" t="s">
        <v>636</v>
      </c>
      <c r="G22" s="87" t="s">
        <v>637</v>
      </c>
      <c r="H22" s="88">
        <v>7.5</v>
      </c>
      <c r="I22" s="97" t="s">
        <v>638</v>
      </c>
      <c r="J22" s="87" t="s">
        <v>639</v>
      </c>
      <c r="K22" s="88">
        <v>7.5</v>
      </c>
      <c r="L22" s="90">
        <f t="shared" si="1"/>
        <v>15</v>
      </c>
      <c r="M22" s="65" t="s">
        <v>191</v>
      </c>
      <c r="N22" s="66"/>
      <c r="O22" s="87"/>
      <c r="P22" s="117">
        <v>0</v>
      </c>
      <c r="Q22" s="117">
        <f t="shared" si="2"/>
        <v>0</v>
      </c>
    </row>
    <row r="23" spans="2:17" ht="20.100000000000001" customHeight="1">
      <c r="B23" s="360">
        <v>18</v>
      </c>
      <c r="C23" s="87" t="str">
        <f t="shared" si="0"/>
        <v>C2</v>
      </c>
      <c r="D23" s="87">
        <v>18</v>
      </c>
      <c r="E23" s="87" t="s">
        <v>640</v>
      </c>
      <c r="F23" s="97" t="s">
        <v>641</v>
      </c>
      <c r="G23" s="87" t="s">
        <v>642</v>
      </c>
      <c r="H23" s="88">
        <v>8</v>
      </c>
      <c r="I23" s="97" t="s">
        <v>643</v>
      </c>
      <c r="J23" s="94" t="s">
        <v>255</v>
      </c>
      <c r="K23" s="88">
        <v>0</v>
      </c>
      <c r="L23" s="90">
        <f t="shared" si="1"/>
        <v>8</v>
      </c>
      <c r="M23" s="65" t="s">
        <v>197</v>
      </c>
      <c r="N23" s="361"/>
      <c r="O23" s="87"/>
      <c r="P23" s="117">
        <v>48</v>
      </c>
      <c r="Q23" s="117">
        <f t="shared" si="2"/>
        <v>24</v>
      </c>
    </row>
    <row r="24" spans="2:17" ht="20.100000000000001" customHeight="1">
      <c r="B24" s="358">
        <v>19</v>
      </c>
      <c r="C24" s="87" t="str">
        <f t="shared" si="0"/>
        <v>E3</v>
      </c>
      <c r="D24" s="87">
        <v>19</v>
      </c>
      <c r="E24" s="87" t="s">
        <v>644</v>
      </c>
      <c r="F24" s="97" t="s">
        <v>645</v>
      </c>
      <c r="G24" s="87" t="s">
        <v>646</v>
      </c>
      <c r="H24" s="88">
        <v>0</v>
      </c>
      <c r="I24" s="97" t="s">
        <v>647</v>
      </c>
      <c r="J24" s="87" t="s">
        <v>648</v>
      </c>
      <c r="K24" s="88">
        <v>0</v>
      </c>
      <c r="L24" s="90">
        <f t="shared" si="1"/>
        <v>0</v>
      </c>
      <c r="M24" s="95" t="s">
        <v>239</v>
      </c>
      <c r="N24" s="96" t="s">
        <v>649</v>
      </c>
      <c r="O24" s="87"/>
      <c r="P24" s="117">
        <v>72</v>
      </c>
      <c r="Q24" s="117">
        <f t="shared" si="2"/>
        <v>36</v>
      </c>
    </row>
    <row r="25" spans="2:17" ht="20.100000000000001" customHeight="1">
      <c r="B25" s="360">
        <v>20</v>
      </c>
      <c r="C25" s="87" t="str">
        <f t="shared" si="0"/>
        <v>F4</v>
      </c>
      <c r="D25" s="87">
        <v>19</v>
      </c>
      <c r="E25" s="87" t="s">
        <v>650</v>
      </c>
      <c r="F25" s="97" t="s">
        <v>651</v>
      </c>
      <c r="G25" s="87" t="s">
        <v>652</v>
      </c>
      <c r="H25" s="88">
        <v>0</v>
      </c>
      <c r="I25" s="97" t="s">
        <v>653</v>
      </c>
      <c r="J25" s="94" t="s">
        <v>255</v>
      </c>
      <c r="K25" s="88">
        <v>0</v>
      </c>
      <c r="L25" s="90">
        <f t="shared" si="1"/>
        <v>0</v>
      </c>
      <c r="M25" s="95" t="s">
        <v>269</v>
      </c>
      <c r="N25" s="96" t="s">
        <v>649</v>
      </c>
      <c r="O25" s="87"/>
      <c r="P25" s="117">
        <v>54</v>
      </c>
      <c r="Q25" s="117">
        <f t="shared" si="2"/>
        <v>27</v>
      </c>
    </row>
    <row r="26" spans="2:17" ht="20.100000000000001" customHeight="1">
      <c r="B26" s="358">
        <v>21</v>
      </c>
      <c r="C26" s="87" t="str">
        <f t="shared" si="0"/>
        <v>B2</v>
      </c>
      <c r="D26" s="87">
        <v>19</v>
      </c>
      <c r="E26" s="87" t="s">
        <v>654</v>
      </c>
      <c r="F26" s="97" t="s">
        <v>655</v>
      </c>
      <c r="G26" s="94" t="s">
        <v>255</v>
      </c>
      <c r="H26" s="88">
        <v>0</v>
      </c>
      <c r="I26" s="97" t="s">
        <v>656</v>
      </c>
      <c r="J26" s="94" t="s">
        <v>255</v>
      </c>
      <c r="K26" s="88">
        <v>0</v>
      </c>
      <c r="L26" s="90">
        <f t="shared" si="1"/>
        <v>0</v>
      </c>
      <c r="M26" s="95" t="s">
        <v>203</v>
      </c>
      <c r="N26" s="96" t="s">
        <v>649</v>
      </c>
      <c r="O26" s="87"/>
      <c r="P26" s="117">
        <v>72</v>
      </c>
      <c r="Q26" s="117">
        <f t="shared" si="2"/>
        <v>36</v>
      </c>
    </row>
    <row r="27" spans="2:17" ht="20.100000000000001" customHeight="1">
      <c r="B27" s="358">
        <v>22</v>
      </c>
      <c r="C27" s="87" t="str">
        <f t="shared" si="0"/>
        <v>A2</v>
      </c>
      <c r="D27" s="87">
        <v>19</v>
      </c>
      <c r="E27" s="97" t="s">
        <v>657</v>
      </c>
      <c r="F27" s="97" t="s">
        <v>658</v>
      </c>
      <c r="G27" s="87" t="s">
        <v>659</v>
      </c>
      <c r="H27" s="88">
        <v>0</v>
      </c>
      <c r="I27" s="97" t="s">
        <v>660</v>
      </c>
      <c r="J27" s="94" t="s">
        <v>255</v>
      </c>
      <c r="K27" s="88">
        <v>0</v>
      </c>
      <c r="L27" s="90">
        <f t="shared" si="1"/>
        <v>0</v>
      </c>
      <c r="M27" s="95" t="s">
        <v>209</v>
      </c>
      <c r="N27" s="96" t="s">
        <v>649</v>
      </c>
      <c r="O27" s="87"/>
      <c r="P27" s="117">
        <v>72</v>
      </c>
      <c r="Q27" s="117">
        <f t="shared" si="2"/>
        <v>36</v>
      </c>
    </row>
    <row r="28" spans="2:17" ht="20.100000000000001" customHeight="1">
      <c r="B28" s="358">
        <v>23</v>
      </c>
      <c r="C28" s="87" t="str">
        <f t="shared" si="0"/>
        <v>D3</v>
      </c>
      <c r="D28" s="87">
        <v>19</v>
      </c>
      <c r="E28" s="87" t="s">
        <v>661</v>
      </c>
      <c r="F28" s="97" t="s">
        <v>662</v>
      </c>
      <c r="G28" s="94" t="s">
        <v>255</v>
      </c>
      <c r="H28" s="88">
        <v>0</v>
      </c>
      <c r="I28" s="97" t="s">
        <v>663</v>
      </c>
      <c r="J28" s="94" t="s">
        <v>255</v>
      </c>
      <c r="K28" s="88">
        <v>0</v>
      </c>
      <c r="L28" s="90">
        <f t="shared" si="1"/>
        <v>0</v>
      </c>
      <c r="M28" s="95" t="s">
        <v>233</v>
      </c>
      <c r="N28" s="96" t="s">
        <v>649</v>
      </c>
      <c r="O28" s="87"/>
      <c r="P28" s="117">
        <v>72</v>
      </c>
      <c r="Q28" s="117">
        <f t="shared" si="2"/>
        <v>36</v>
      </c>
    </row>
    <row r="29" spans="2:17" ht="20.100000000000001" customHeight="1">
      <c r="B29" s="100">
        <v>24</v>
      </c>
      <c r="C29" s="87" t="str">
        <f t="shared" si="0"/>
        <v>F3</v>
      </c>
      <c r="D29" s="87">
        <v>19</v>
      </c>
      <c r="E29" s="97" t="s">
        <v>664</v>
      </c>
      <c r="F29" s="97" t="s">
        <v>665</v>
      </c>
      <c r="G29" s="94" t="s">
        <v>255</v>
      </c>
      <c r="H29" s="88">
        <v>0</v>
      </c>
      <c r="I29" s="97" t="s">
        <v>666</v>
      </c>
      <c r="J29" s="94" t="s">
        <v>255</v>
      </c>
      <c r="K29" s="88">
        <v>0</v>
      </c>
      <c r="L29" s="90">
        <f t="shared" si="1"/>
        <v>0</v>
      </c>
      <c r="M29" s="95" t="s">
        <v>244</v>
      </c>
      <c r="N29" s="96" t="s">
        <v>649</v>
      </c>
      <c r="O29" s="87"/>
      <c r="P29" s="117">
        <v>54</v>
      </c>
      <c r="Q29" s="117">
        <f t="shared" si="2"/>
        <v>27</v>
      </c>
    </row>
    <row r="30" spans="2:17" ht="20.100000000000001" customHeight="1">
      <c r="B30" s="358">
        <v>25</v>
      </c>
      <c r="C30" s="87" t="str">
        <f t="shared" si="0"/>
        <v>A3</v>
      </c>
      <c r="D30" s="87">
        <v>19</v>
      </c>
      <c r="E30" s="87" t="s">
        <v>667</v>
      </c>
      <c r="F30" s="97" t="s">
        <v>668</v>
      </c>
      <c r="G30" s="94" t="s">
        <v>255</v>
      </c>
      <c r="H30" s="88">
        <v>0</v>
      </c>
      <c r="I30" s="97" t="s">
        <v>669</v>
      </c>
      <c r="J30" s="94" t="s">
        <v>255</v>
      </c>
      <c r="K30" s="88">
        <v>0</v>
      </c>
      <c r="L30" s="90">
        <f t="shared" si="1"/>
        <v>0</v>
      </c>
      <c r="M30" s="362" t="s">
        <v>215</v>
      </c>
      <c r="N30" s="96" t="s">
        <v>649</v>
      </c>
      <c r="O30" s="87"/>
      <c r="P30" s="117">
        <v>0</v>
      </c>
      <c r="Q30" s="117">
        <f t="shared" si="2"/>
        <v>0</v>
      </c>
    </row>
    <row r="31" spans="2:17" ht="20.100000000000001" customHeight="1">
      <c r="B31" s="363">
        <v>26</v>
      </c>
      <c r="C31" s="106" t="str">
        <f t="shared" si="0"/>
        <v>C3</v>
      </c>
      <c r="D31" s="80">
        <v>19</v>
      </c>
      <c r="E31" s="80" t="s">
        <v>670</v>
      </c>
      <c r="F31" s="359" t="s">
        <v>671</v>
      </c>
      <c r="G31" s="80" t="s">
        <v>672</v>
      </c>
      <c r="H31" s="88">
        <v>0</v>
      </c>
      <c r="I31" s="359" t="s">
        <v>673</v>
      </c>
      <c r="J31" s="80" t="s">
        <v>674</v>
      </c>
      <c r="K31" s="88">
        <v>0</v>
      </c>
      <c r="L31" s="90">
        <f t="shared" si="1"/>
        <v>0</v>
      </c>
      <c r="M31" s="95" t="s">
        <v>227</v>
      </c>
      <c r="N31" s="96" t="s">
        <v>649</v>
      </c>
      <c r="O31" s="87"/>
      <c r="P31" s="117">
        <v>54</v>
      </c>
      <c r="Q31" s="117">
        <f t="shared" si="2"/>
        <v>27</v>
      </c>
    </row>
    <row r="32" spans="2:17" ht="19.5" customHeight="1">
      <c r="B32" s="79">
        <v>27</v>
      </c>
      <c r="C32" s="106" t="str">
        <f t="shared" si="0"/>
        <v>B3</v>
      </c>
      <c r="D32" s="87">
        <v>19</v>
      </c>
      <c r="E32" s="87" t="s">
        <v>675</v>
      </c>
      <c r="F32" s="97" t="s">
        <v>676</v>
      </c>
      <c r="G32" s="94" t="s">
        <v>255</v>
      </c>
      <c r="H32" s="88">
        <v>0</v>
      </c>
      <c r="I32" s="97" t="s">
        <v>677</v>
      </c>
      <c r="J32" s="94" t="s">
        <v>255</v>
      </c>
      <c r="K32" s="88">
        <v>0</v>
      </c>
      <c r="L32" s="90">
        <f t="shared" si="1"/>
        <v>0</v>
      </c>
      <c r="M32" s="362" t="s">
        <v>221</v>
      </c>
      <c r="N32" s="96" t="s">
        <v>649</v>
      </c>
      <c r="O32" s="87"/>
      <c r="P32" s="117">
        <v>48</v>
      </c>
      <c r="Q32" s="117">
        <f t="shared" si="2"/>
        <v>24</v>
      </c>
    </row>
    <row r="33" spans="2:15" ht="20.100000000000001" hidden="1" customHeight="1">
      <c r="B33" s="358">
        <v>28</v>
      </c>
      <c r="C33" s="87">
        <f t="shared" si="0"/>
        <v>0</v>
      </c>
      <c r="D33" s="102">
        <v>26</v>
      </c>
      <c r="E33" s="364"/>
      <c r="F33" s="364"/>
      <c r="G33" s="364"/>
      <c r="H33" s="364"/>
      <c r="I33" s="364"/>
      <c r="J33" s="364"/>
      <c r="K33" s="365"/>
      <c r="L33" s="83">
        <f>H32+K33</f>
        <v>0</v>
      </c>
      <c r="M33" s="362"/>
      <c r="N33" s="29"/>
      <c r="O33" s="87"/>
    </row>
    <row r="34" spans="2:15" ht="20.100000000000001" hidden="1" customHeight="1">
      <c r="B34" s="358">
        <v>29</v>
      </c>
      <c r="C34" s="87">
        <f t="shared" si="0"/>
        <v>0</v>
      </c>
      <c r="D34" s="87">
        <v>29</v>
      </c>
      <c r="E34" s="80"/>
      <c r="F34" s="80"/>
      <c r="G34" s="80"/>
      <c r="H34" s="366" t="e">
        <f>NA()</f>
        <v>#N/A</v>
      </c>
      <c r="I34" s="80"/>
      <c r="J34" s="80"/>
      <c r="K34" s="62" t="e">
        <f>NA()</f>
        <v>#N/A</v>
      </c>
      <c r="L34" s="90" t="e">
        <f t="shared" ref="L34:L77" si="3">H34+K34</f>
        <v>#N/A</v>
      </c>
      <c r="M34" s="95"/>
      <c r="N34" s="29"/>
      <c r="O34" s="87"/>
    </row>
    <row r="35" spans="2:15" ht="20.100000000000001" hidden="1" customHeight="1">
      <c r="B35" s="360">
        <v>30</v>
      </c>
      <c r="C35" s="87">
        <f t="shared" si="0"/>
        <v>0</v>
      </c>
      <c r="D35" s="87">
        <v>29</v>
      </c>
      <c r="E35" s="87"/>
      <c r="F35" s="87"/>
      <c r="G35" s="87"/>
      <c r="H35" s="367" t="e">
        <f>NA()</f>
        <v>#N/A</v>
      </c>
      <c r="I35" s="87"/>
      <c r="J35" s="87"/>
      <c r="K35" s="62" t="e">
        <f>NA()</f>
        <v>#N/A</v>
      </c>
      <c r="L35" s="90" t="e">
        <f t="shared" si="3"/>
        <v>#N/A</v>
      </c>
      <c r="M35" s="95"/>
      <c r="N35" s="29"/>
      <c r="O35" s="87"/>
    </row>
    <row r="36" spans="2:15" ht="20.100000000000001" hidden="1" customHeight="1">
      <c r="B36" s="358">
        <v>31</v>
      </c>
      <c r="C36" s="87">
        <f t="shared" si="0"/>
        <v>0</v>
      </c>
      <c r="D36" s="87">
        <v>29</v>
      </c>
      <c r="E36" s="87"/>
      <c r="F36" s="87"/>
      <c r="G36" s="87"/>
      <c r="H36" s="367" t="e">
        <f>NA()</f>
        <v>#N/A</v>
      </c>
      <c r="I36" s="87"/>
      <c r="J36" s="87"/>
      <c r="K36" s="62" t="e">
        <f>NA()</f>
        <v>#N/A</v>
      </c>
      <c r="L36" s="90" t="e">
        <f t="shared" si="3"/>
        <v>#N/A</v>
      </c>
      <c r="M36" s="95"/>
      <c r="N36" s="29"/>
      <c r="O36" s="87"/>
    </row>
    <row r="37" spans="2:15" ht="20.100000000000001" hidden="1" customHeight="1">
      <c r="B37" s="358">
        <v>32</v>
      </c>
      <c r="C37" s="87">
        <f t="shared" si="0"/>
        <v>0</v>
      </c>
      <c r="D37" s="87">
        <v>32</v>
      </c>
      <c r="E37" s="87"/>
      <c r="F37" s="87"/>
      <c r="G37" s="87"/>
      <c r="H37" s="367" t="e">
        <f>NA()</f>
        <v>#N/A</v>
      </c>
      <c r="I37" s="87"/>
      <c r="J37" s="87"/>
      <c r="K37" s="62" t="e">
        <f>NA()</f>
        <v>#N/A</v>
      </c>
      <c r="L37" s="90" t="e">
        <f t="shared" si="3"/>
        <v>#N/A</v>
      </c>
      <c r="M37" s="368"/>
      <c r="N37" s="31"/>
      <c r="O37" s="87"/>
    </row>
    <row r="38" spans="2:15" ht="20.100000000000001" hidden="1" customHeight="1">
      <c r="B38" s="360">
        <v>33</v>
      </c>
      <c r="C38" s="87">
        <f t="shared" ref="C38:C69" si="4">M38</f>
        <v>0</v>
      </c>
      <c r="D38" s="87">
        <v>33</v>
      </c>
      <c r="E38" s="87"/>
      <c r="F38" s="87"/>
      <c r="G38" s="87"/>
      <c r="H38" s="367" t="e">
        <f>NA()</f>
        <v>#N/A</v>
      </c>
      <c r="I38" s="87"/>
      <c r="J38" s="87"/>
      <c r="K38" s="62" t="e">
        <f>NA()</f>
        <v>#N/A</v>
      </c>
      <c r="L38" s="90" t="e">
        <f t="shared" si="3"/>
        <v>#N/A</v>
      </c>
      <c r="M38" s="95"/>
      <c r="N38" s="29"/>
      <c r="O38" s="87"/>
    </row>
    <row r="39" spans="2:15" ht="20.100000000000001" hidden="1" customHeight="1">
      <c r="B39" s="358">
        <v>34</v>
      </c>
      <c r="C39" s="87">
        <f t="shared" si="4"/>
        <v>0</v>
      </c>
      <c r="D39" s="87">
        <v>33</v>
      </c>
      <c r="E39" s="87"/>
      <c r="F39" s="87"/>
      <c r="G39" s="87"/>
      <c r="H39" s="367" t="e">
        <f>NA()</f>
        <v>#N/A</v>
      </c>
      <c r="I39" s="87"/>
      <c r="J39" s="87"/>
      <c r="K39" s="62" t="e">
        <f>NA()</f>
        <v>#N/A</v>
      </c>
      <c r="L39" s="90" t="e">
        <f t="shared" si="3"/>
        <v>#N/A</v>
      </c>
      <c r="M39" s="95"/>
      <c r="N39" s="29"/>
      <c r="O39" s="87"/>
    </row>
    <row r="40" spans="2:15" ht="20.100000000000001" hidden="1" customHeight="1">
      <c r="B40" s="358">
        <v>35</v>
      </c>
      <c r="C40" s="87">
        <f t="shared" si="4"/>
        <v>0</v>
      </c>
      <c r="D40" s="87">
        <v>33</v>
      </c>
      <c r="E40" s="87"/>
      <c r="F40" s="87"/>
      <c r="G40" s="87"/>
      <c r="H40" s="367" t="e">
        <f>NA()</f>
        <v>#N/A</v>
      </c>
      <c r="I40" s="87"/>
      <c r="J40" s="87"/>
      <c r="K40" s="62" t="e">
        <f>NA()</f>
        <v>#N/A</v>
      </c>
      <c r="L40" s="90" t="e">
        <f t="shared" si="3"/>
        <v>#N/A</v>
      </c>
      <c r="M40" s="95"/>
      <c r="N40" s="29"/>
      <c r="O40" s="87"/>
    </row>
    <row r="41" spans="2:15" ht="20.100000000000001" hidden="1" customHeight="1">
      <c r="B41" s="360">
        <v>36</v>
      </c>
      <c r="C41" s="87">
        <f t="shared" si="4"/>
        <v>0</v>
      </c>
      <c r="D41" s="87">
        <v>33</v>
      </c>
      <c r="E41" s="87"/>
      <c r="F41" s="87"/>
      <c r="G41" s="87"/>
      <c r="H41" s="367" t="e">
        <f>NA()</f>
        <v>#N/A</v>
      </c>
      <c r="I41" s="87"/>
      <c r="J41" s="87"/>
      <c r="K41" s="62" t="e">
        <f>NA()</f>
        <v>#N/A</v>
      </c>
      <c r="L41" s="90" t="e">
        <f t="shared" si="3"/>
        <v>#N/A</v>
      </c>
      <c r="M41" s="95"/>
      <c r="N41" s="29"/>
      <c r="O41" s="87"/>
    </row>
    <row r="42" spans="2:15" ht="20.100000000000001" hidden="1" customHeight="1">
      <c r="B42" s="358">
        <v>37</v>
      </c>
      <c r="C42" s="87">
        <f t="shared" si="4"/>
        <v>0</v>
      </c>
      <c r="D42" s="87">
        <v>33</v>
      </c>
      <c r="E42" s="87"/>
      <c r="F42" s="87"/>
      <c r="G42" s="87"/>
      <c r="H42" s="367" t="e">
        <f>NA()</f>
        <v>#N/A</v>
      </c>
      <c r="I42" s="87"/>
      <c r="J42" s="87"/>
      <c r="K42" s="62" t="e">
        <f>NA()</f>
        <v>#N/A</v>
      </c>
      <c r="L42" s="90" t="e">
        <f t="shared" si="3"/>
        <v>#N/A</v>
      </c>
      <c r="M42" s="95"/>
      <c r="N42" s="29"/>
      <c r="O42" s="87"/>
    </row>
    <row r="43" spans="2:15" hidden="1">
      <c r="B43" s="358">
        <v>38</v>
      </c>
      <c r="C43" s="87" t="str">
        <f t="shared" si="4"/>
        <v>A1</v>
      </c>
      <c r="D43" s="87">
        <v>34</v>
      </c>
      <c r="E43" s="117" t="s">
        <v>119</v>
      </c>
      <c r="F43" s="87" t="s">
        <v>678</v>
      </c>
      <c r="G43" s="87" t="s">
        <v>679</v>
      </c>
      <c r="H43" s="113">
        <v>1</v>
      </c>
      <c r="I43" s="87" t="s">
        <v>678</v>
      </c>
      <c r="J43" s="87" t="s">
        <v>255</v>
      </c>
      <c r="K43" s="113">
        <v>1</v>
      </c>
      <c r="L43" s="90">
        <f t="shared" si="3"/>
        <v>2</v>
      </c>
      <c r="M43" s="117" t="s">
        <v>119</v>
      </c>
    </row>
    <row r="44" spans="2:15" hidden="1">
      <c r="B44" s="360">
        <v>39</v>
      </c>
      <c r="C44" s="87" t="str">
        <f t="shared" si="4"/>
        <v>B1</v>
      </c>
      <c r="D44" s="87">
        <v>35</v>
      </c>
      <c r="E44" s="117" t="s">
        <v>125</v>
      </c>
      <c r="F44" s="87" t="s">
        <v>678</v>
      </c>
      <c r="G44" s="87" t="s">
        <v>680</v>
      </c>
      <c r="H44" s="113">
        <v>2</v>
      </c>
      <c r="I44" s="87" t="s">
        <v>678</v>
      </c>
      <c r="J44" s="87" t="s">
        <v>255</v>
      </c>
      <c r="K44" s="113">
        <v>2</v>
      </c>
      <c r="L44" s="90">
        <f t="shared" si="3"/>
        <v>4</v>
      </c>
      <c r="M44" s="117" t="s">
        <v>125</v>
      </c>
    </row>
    <row r="45" spans="2:15" hidden="1">
      <c r="B45" s="358">
        <v>40</v>
      </c>
      <c r="C45" s="87" t="str">
        <f t="shared" si="4"/>
        <v>C1</v>
      </c>
      <c r="D45" s="87">
        <v>36</v>
      </c>
      <c r="E45" s="117" t="s">
        <v>131</v>
      </c>
      <c r="F45" s="87" t="s">
        <v>678</v>
      </c>
      <c r="G45" s="87" t="s">
        <v>681</v>
      </c>
      <c r="H45" s="113">
        <v>3</v>
      </c>
      <c r="I45" s="87" t="s">
        <v>678</v>
      </c>
      <c r="J45" s="87" t="s">
        <v>255</v>
      </c>
      <c r="K45" s="113">
        <v>3</v>
      </c>
      <c r="L45" s="90">
        <f t="shared" si="3"/>
        <v>6</v>
      </c>
      <c r="M45" s="117" t="s">
        <v>131</v>
      </c>
    </row>
    <row r="46" spans="2:15" hidden="1">
      <c r="B46" s="358">
        <v>41</v>
      </c>
      <c r="C46" s="87" t="str">
        <f t="shared" si="4"/>
        <v>D1</v>
      </c>
      <c r="D46" s="87">
        <v>37</v>
      </c>
      <c r="E46" s="117" t="s">
        <v>137</v>
      </c>
      <c r="F46" s="87" t="s">
        <v>678</v>
      </c>
      <c r="G46" s="87" t="s">
        <v>682</v>
      </c>
      <c r="H46" s="113">
        <v>4</v>
      </c>
      <c r="I46" s="87" t="s">
        <v>678</v>
      </c>
      <c r="J46" s="87" t="s">
        <v>255</v>
      </c>
      <c r="K46" s="113">
        <v>4</v>
      </c>
      <c r="L46" s="90">
        <f t="shared" si="3"/>
        <v>8</v>
      </c>
      <c r="M46" s="117" t="s">
        <v>137</v>
      </c>
    </row>
    <row r="47" spans="2:15" hidden="1">
      <c r="B47" s="360">
        <v>42</v>
      </c>
      <c r="C47" s="87" t="str">
        <f t="shared" si="4"/>
        <v>E1</v>
      </c>
      <c r="D47" s="87">
        <v>38</v>
      </c>
      <c r="E47" s="117" t="s">
        <v>143</v>
      </c>
      <c r="F47" s="87" t="s">
        <v>678</v>
      </c>
      <c r="G47" s="87" t="s">
        <v>683</v>
      </c>
      <c r="H47" s="113">
        <v>5</v>
      </c>
      <c r="I47" s="87" t="s">
        <v>678</v>
      </c>
      <c r="J47" s="87" t="s">
        <v>255</v>
      </c>
      <c r="K47" s="113">
        <v>5</v>
      </c>
      <c r="L47" s="90">
        <f t="shared" si="3"/>
        <v>10</v>
      </c>
      <c r="M47" s="117" t="s">
        <v>143</v>
      </c>
    </row>
    <row r="48" spans="2:15" hidden="1">
      <c r="B48" s="358">
        <v>43</v>
      </c>
      <c r="C48" s="87" t="str">
        <f t="shared" si="4"/>
        <v>F1</v>
      </c>
      <c r="D48" s="87">
        <v>39</v>
      </c>
      <c r="E48" s="117" t="s">
        <v>149</v>
      </c>
      <c r="F48" s="87" t="s">
        <v>678</v>
      </c>
      <c r="G48" s="87" t="s">
        <v>639</v>
      </c>
      <c r="H48" s="113">
        <v>6</v>
      </c>
      <c r="I48" s="87" t="s">
        <v>678</v>
      </c>
      <c r="J48" s="87" t="s">
        <v>255</v>
      </c>
      <c r="K48" s="113">
        <v>6</v>
      </c>
      <c r="L48" s="90">
        <f t="shared" si="3"/>
        <v>12</v>
      </c>
      <c r="M48" s="117" t="s">
        <v>149</v>
      </c>
    </row>
    <row r="49" spans="2:13" hidden="1">
      <c r="B49" s="358">
        <v>44</v>
      </c>
      <c r="C49" s="87" t="str">
        <f t="shared" si="4"/>
        <v>G1</v>
      </c>
      <c r="D49" s="87">
        <v>40</v>
      </c>
      <c r="E49" s="117" t="s">
        <v>155</v>
      </c>
      <c r="F49" s="87" t="s">
        <v>678</v>
      </c>
      <c r="G49" s="87" t="s">
        <v>684</v>
      </c>
      <c r="H49" s="113">
        <v>7</v>
      </c>
      <c r="I49" s="87" t="s">
        <v>678</v>
      </c>
      <c r="J49" s="87" t="s">
        <v>255</v>
      </c>
      <c r="K49" s="113">
        <v>7</v>
      </c>
      <c r="L49" s="90">
        <f t="shared" si="3"/>
        <v>14</v>
      </c>
      <c r="M49" s="117" t="s">
        <v>155</v>
      </c>
    </row>
    <row r="50" spans="2:13" hidden="1">
      <c r="B50" s="360">
        <v>45</v>
      </c>
      <c r="C50" s="87" t="str">
        <f t="shared" si="4"/>
        <v>H1</v>
      </c>
      <c r="D50" s="87">
        <v>41</v>
      </c>
      <c r="E50" s="117" t="s">
        <v>161</v>
      </c>
      <c r="F50" s="87" t="s">
        <v>678</v>
      </c>
      <c r="G50" s="87" t="s">
        <v>685</v>
      </c>
      <c r="H50" s="113">
        <v>8</v>
      </c>
      <c r="I50" s="87" t="s">
        <v>678</v>
      </c>
      <c r="J50" s="87" t="s">
        <v>255</v>
      </c>
      <c r="K50" s="113">
        <v>8</v>
      </c>
      <c r="L50" s="90">
        <f t="shared" si="3"/>
        <v>16</v>
      </c>
      <c r="M50" s="117" t="s">
        <v>161</v>
      </c>
    </row>
    <row r="51" spans="2:13" hidden="1">
      <c r="B51" s="358">
        <v>46</v>
      </c>
      <c r="C51" s="87" t="str">
        <f t="shared" si="4"/>
        <v>A2</v>
      </c>
      <c r="D51" s="87">
        <v>42</v>
      </c>
      <c r="E51" s="117" t="s">
        <v>209</v>
      </c>
      <c r="F51" s="87" t="s">
        <v>678</v>
      </c>
      <c r="G51" s="87" t="s">
        <v>686</v>
      </c>
      <c r="H51" s="113">
        <v>9</v>
      </c>
      <c r="I51" s="87" t="s">
        <v>678</v>
      </c>
      <c r="J51" s="87" t="s">
        <v>255</v>
      </c>
      <c r="K51" s="113">
        <v>9</v>
      </c>
      <c r="L51" s="90">
        <f t="shared" si="3"/>
        <v>18</v>
      </c>
      <c r="M51" s="117" t="s">
        <v>209</v>
      </c>
    </row>
    <row r="52" spans="2:13" hidden="1">
      <c r="B52" s="358">
        <v>47</v>
      </c>
      <c r="C52" s="87" t="str">
        <f t="shared" si="4"/>
        <v>B2</v>
      </c>
      <c r="D52" s="87">
        <v>43</v>
      </c>
      <c r="E52" s="117" t="s">
        <v>203</v>
      </c>
      <c r="F52" s="87" t="s">
        <v>678</v>
      </c>
      <c r="G52" s="87" t="s">
        <v>687</v>
      </c>
      <c r="H52" s="113">
        <v>10</v>
      </c>
      <c r="I52" s="87" t="s">
        <v>678</v>
      </c>
      <c r="J52" s="87" t="s">
        <v>255</v>
      </c>
      <c r="K52" s="113">
        <v>10</v>
      </c>
      <c r="L52" s="90">
        <f t="shared" si="3"/>
        <v>20</v>
      </c>
      <c r="M52" s="117" t="s">
        <v>203</v>
      </c>
    </row>
    <row r="53" spans="2:13" hidden="1">
      <c r="B53" s="360">
        <v>48</v>
      </c>
      <c r="C53" s="87" t="str">
        <f t="shared" si="4"/>
        <v>C2</v>
      </c>
      <c r="D53" s="87">
        <v>44</v>
      </c>
      <c r="E53" s="117" t="s">
        <v>197</v>
      </c>
      <c r="F53" s="87" t="s">
        <v>678</v>
      </c>
      <c r="G53" s="87" t="s">
        <v>688</v>
      </c>
      <c r="H53" s="113">
        <v>11</v>
      </c>
      <c r="I53" s="87" t="s">
        <v>678</v>
      </c>
      <c r="J53" s="87" t="s">
        <v>255</v>
      </c>
      <c r="K53" s="113">
        <v>11</v>
      </c>
      <c r="L53" s="90">
        <f t="shared" si="3"/>
        <v>22</v>
      </c>
      <c r="M53" s="117" t="s">
        <v>197</v>
      </c>
    </row>
    <row r="54" spans="2:13" hidden="1">
      <c r="B54" s="358">
        <v>49</v>
      </c>
      <c r="C54" s="87" t="str">
        <f t="shared" si="4"/>
        <v>D2</v>
      </c>
      <c r="D54" s="87">
        <v>45</v>
      </c>
      <c r="E54" s="117" t="s">
        <v>191</v>
      </c>
      <c r="F54" s="87" t="s">
        <v>678</v>
      </c>
      <c r="G54" s="87" t="s">
        <v>689</v>
      </c>
      <c r="H54" s="113">
        <v>12</v>
      </c>
      <c r="I54" s="87" t="s">
        <v>678</v>
      </c>
      <c r="J54" s="87" t="s">
        <v>255</v>
      </c>
      <c r="K54" s="113">
        <v>12</v>
      </c>
      <c r="L54" s="90">
        <f t="shared" si="3"/>
        <v>24</v>
      </c>
      <c r="M54" s="117" t="s">
        <v>191</v>
      </c>
    </row>
    <row r="55" spans="2:13" hidden="1">
      <c r="B55" s="358">
        <v>50</v>
      </c>
      <c r="C55" s="87" t="str">
        <f t="shared" si="4"/>
        <v>F2</v>
      </c>
      <c r="D55" s="87">
        <v>46</v>
      </c>
      <c r="E55" s="117" t="s">
        <v>179</v>
      </c>
      <c r="F55" s="87" t="s">
        <v>678</v>
      </c>
      <c r="G55" s="87" t="s">
        <v>690</v>
      </c>
      <c r="H55" s="113">
        <v>13</v>
      </c>
      <c r="I55" s="87" t="s">
        <v>678</v>
      </c>
      <c r="J55" s="87" t="s">
        <v>255</v>
      </c>
      <c r="K55" s="113">
        <v>13</v>
      </c>
      <c r="L55" s="90">
        <f t="shared" si="3"/>
        <v>26</v>
      </c>
      <c r="M55" s="117" t="s">
        <v>179</v>
      </c>
    </row>
    <row r="56" spans="2:13" hidden="1">
      <c r="B56" s="360">
        <v>51</v>
      </c>
      <c r="C56" s="87" t="str">
        <f t="shared" si="4"/>
        <v>F2</v>
      </c>
      <c r="D56" s="87">
        <v>47</v>
      </c>
      <c r="E56" s="117" t="s">
        <v>179</v>
      </c>
      <c r="F56" s="87" t="s">
        <v>678</v>
      </c>
      <c r="G56" s="87" t="s">
        <v>691</v>
      </c>
      <c r="H56" s="113">
        <v>14</v>
      </c>
      <c r="I56" s="87" t="s">
        <v>678</v>
      </c>
      <c r="J56" s="87" t="s">
        <v>255</v>
      </c>
      <c r="K56" s="113">
        <v>14</v>
      </c>
      <c r="L56" s="90">
        <f t="shared" si="3"/>
        <v>28</v>
      </c>
      <c r="M56" s="117" t="s">
        <v>179</v>
      </c>
    </row>
    <row r="57" spans="2:13" hidden="1">
      <c r="B57" s="358">
        <v>52</v>
      </c>
      <c r="C57" s="87" t="str">
        <f t="shared" si="4"/>
        <v>H2</v>
      </c>
      <c r="D57" s="87">
        <v>48</v>
      </c>
      <c r="E57" s="117" t="s">
        <v>167</v>
      </c>
      <c r="F57" s="87" t="s">
        <v>678</v>
      </c>
      <c r="G57" s="87" t="s">
        <v>692</v>
      </c>
      <c r="H57" s="113">
        <v>15</v>
      </c>
      <c r="I57" s="87" t="s">
        <v>678</v>
      </c>
      <c r="J57" s="87" t="s">
        <v>255</v>
      </c>
      <c r="K57" s="113">
        <v>15</v>
      </c>
      <c r="L57" s="90">
        <f t="shared" si="3"/>
        <v>30</v>
      </c>
      <c r="M57" s="117" t="s">
        <v>167</v>
      </c>
    </row>
    <row r="58" spans="2:13" hidden="1">
      <c r="B58" s="358">
        <v>53</v>
      </c>
      <c r="C58" s="87" t="str">
        <f t="shared" si="4"/>
        <v>A3</v>
      </c>
      <c r="D58" s="87">
        <v>49</v>
      </c>
      <c r="E58" s="117" t="s">
        <v>215</v>
      </c>
      <c r="F58" s="87" t="s">
        <v>678</v>
      </c>
      <c r="G58" s="87" t="s">
        <v>693</v>
      </c>
      <c r="H58" s="113">
        <v>16</v>
      </c>
      <c r="I58" s="87" t="s">
        <v>678</v>
      </c>
      <c r="J58" s="87" t="s">
        <v>255</v>
      </c>
      <c r="K58" s="113">
        <v>16</v>
      </c>
      <c r="L58" s="90">
        <f t="shared" si="3"/>
        <v>32</v>
      </c>
      <c r="M58" s="206" t="s">
        <v>215</v>
      </c>
    </row>
    <row r="59" spans="2:13" hidden="1">
      <c r="B59" s="360">
        <v>54</v>
      </c>
      <c r="C59" s="87" t="str">
        <f t="shared" si="4"/>
        <v>B3</v>
      </c>
      <c r="D59" s="87">
        <v>50</v>
      </c>
      <c r="E59" s="117" t="s">
        <v>221</v>
      </c>
      <c r="F59" s="87" t="s">
        <v>678</v>
      </c>
      <c r="G59" s="87" t="s">
        <v>694</v>
      </c>
      <c r="H59" s="113">
        <v>17</v>
      </c>
      <c r="I59" s="87" t="s">
        <v>678</v>
      </c>
      <c r="J59" s="87" t="s">
        <v>255</v>
      </c>
      <c r="K59" s="113">
        <v>17</v>
      </c>
      <c r="L59" s="90">
        <f t="shared" si="3"/>
        <v>34</v>
      </c>
      <c r="M59" s="206" t="s">
        <v>221</v>
      </c>
    </row>
    <row r="60" spans="2:13" hidden="1">
      <c r="B60" s="358">
        <v>55</v>
      </c>
      <c r="C60" s="87" t="str">
        <f t="shared" si="4"/>
        <v>C3</v>
      </c>
      <c r="D60" s="87">
        <v>51</v>
      </c>
      <c r="E60" s="117" t="s">
        <v>227</v>
      </c>
      <c r="F60" s="87" t="s">
        <v>678</v>
      </c>
      <c r="G60" s="87" t="s">
        <v>695</v>
      </c>
      <c r="H60" s="113">
        <v>18</v>
      </c>
      <c r="I60" s="87" t="s">
        <v>678</v>
      </c>
      <c r="J60" s="87" t="s">
        <v>255</v>
      </c>
      <c r="K60" s="113">
        <v>18</v>
      </c>
      <c r="L60" s="90">
        <f t="shared" si="3"/>
        <v>36</v>
      </c>
      <c r="M60" s="206" t="s">
        <v>227</v>
      </c>
    </row>
    <row r="61" spans="2:13" hidden="1">
      <c r="B61" s="358">
        <v>56</v>
      </c>
      <c r="C61" s="87" t="str">
        <f t="shared" si="4"/>
        <v>D3</v>
      </c>
      <c r="D61" s="87">
        <v>52</v>
      </c>
      <c r="E61" s="117" t="s">
        <v>233</v>
      </c>
      <c r="F61" s="87" t="s">
        <v>678</v>
      </c>
      <c r="G61" s="87" t="s">
        <v>696</v>
      </c>
      <c r="H61" s="113">
        <v>19</v>
      </c>
      <c r="I61" s="87" t="s">
        <v>678</v>
      </c>
      <c r="J61" s="87" t="s">
        <v>255</v>
      </c>
      <c r="K61" s="113">
        <v>19</v>
      </c>
      <c r="L61" s="90">
        <f t="shared" si="3"/>
        <v>38</v>
      </c>
      <c r="M61" s="206" t="s">
        <v>233</v>
      </c>
    </row>
    <row r="62" spans="2:13" hidden="1">
      <c r="B62" s="360">
        <v>57</v>
      </c>
      <c r="C62" s="87" t="str">
        <f t="shared" si="4"/>
        <v>E3</v>
      </c>
      <c r="D62" s="87">
        <v>53</v>
      </c>
      <c r="E62" s="117" t="s">
        <v>239</v>
      </c>
      <c r="F62" s="87" t="s">
        <v>678</v>
      </c>
      <c r="G62" s="87" t="s">
        <v>697</v>
      </c>
      <c r="H62" s="113">
        <v>20</v>
      </c>
      <c r="I62" s="87" t="s">
        <v>678</v>
      </c>
      <c r="J62" s="87" t="s">
        <v>255</v>
      </c>
      <c r="K62" s="113">
        <v>20</v>
      </c>
      <c r="L62" s="90">
        <f t="shared" si="3"/>
        <v>40</v>
      </c>
      <c r="M62" s="206" t="s">
        <v>239</v>
      </c>
    </row>
    <row r="63" spans="2:13" hidden="1">
      <c r="B63" s="358">
        <v>58</v>
      </c>
      <c r="C63" s="87" t="str">
        <f t="shared" si="4"/>
        <v>F3</v>
      </c>
      <c r="D63" s="87">
        <v>54</v>
      </c>
      <c r="E63" s="117" t="s">
        <v>244</v>
      </c>
      <c r="F63" s="87" t="s">
        <v>678</v>
      </c>
      <c r="G63" s="87" t="s">
        <v>698</v>
      </c>
      <c r="H63" s="113">
        <v>21</v>
      </c>
      <c r="I63" s="87" t="s">
        <v>678</v>
      </c>
      <c r="J63" s="87" t="s">
        <v>255</v>
      </c>
      <c r="K63" s="113">
        <v>21</v>
      </c>
      <c r="L63" s="90">
        <f t="shared" si="3"/>
        <v>42</v>
      </c>
      <c r="M63" s="206" t="s">
        <v>244</v>
      </c>
    </row>
    <row r="64" spans="2:13" hidden="1">
      <c r="B64" s="358">
        <v>59</v>
      </c>
      <c r="C64" s="87" t="str">
        <f t="shared" si="4"/>
        <v>G3</v>
      </c>
      <c r="D64" s="87">
        <v>55</v>
      </c>
      <c r="E64" s="117" t="s">
        <v>273</v>
      </c>
      <c r="F64" s="87" t="s">
        <v>678</v>
      </c>
      <c r="G64" s="87" t="s">
        <v>699</v>
      </c>
      <c r="H64" s="113">
        <v>22</v>
      </c>
      <c r="I64" s="87" t="s">
        <v>678</v>
      </c>
      <c r="J64" s="87" t="s">
        <v>255</v>
      </c>
      <c r="K64" s="113">
        <v>22</v>
      </c>
      <c r="L64" s="90">
        <f t="shared" si="3"/>
        <v>44</v>
      </c>
      <c r="M64" s="206" t="s">
        <v>250</v>
      </c>
    </row>
    <row r="65" spans="2:13" hidden="1">
      <c r="B65" s="360">
        <v>60</v>
      </c>
      <c r="C65" s="87" t="str">
        <f t="shared" si="4"/>
        <v>H3</v>
      </c>
      <c r="D65" s="87">
        <v>56</v>
      </c>
      <c r="E65" s="117" t="s">
        <v>700</v>
      </c>
      <c r="F65" s="87" t="s">
        <v>678</v>
      </c>
      <c r="G65" s="87" t="s">
        <v>701</v>
      </c>
      <c r="H65" s="113">
        <v>23</v>
      </c>
      <c r="I65" s="87" t="s">
        <v>678</v>
      </c>
      <c r="J65" s="87" t="s">
        <v>255</v>
      </c>
      <c r="K65" s="113">
        <v>23</v>
      </c>
      <c r="L65" s="90">
        <f t="shared" si="3"/>
        <v>46</v>
      </c>
      <c r="M65" s="206" t="s">
        <v>256</v>
      </c>
    </row>
    <row r="66" spans="2:13" hidden="1">
      <c r="B66" s="360">
        <v>60</v>
      </c>
      <c r="C66" s="87" t="str">
        <f t="shared" si="4"/>
        <v>A3</v>
      </c>
      <c r="E66" s="117" t="s">
        <v>215</v>
      </c>
      <c r="F66" s="87" t="s">
        <v>678</v>
      </c>
      <c r="G66" s="87" t="s">
        <v>702</v>
      </c>
      <c r="H66" s="113">
        <v>23</v>
      </c>
      <c r="I66" s="87" t="s">
        <v>678</v>
      </c>
      <c r="J66" s="87" t="s">
        <v>255</v>
      </c>
      <c r="K66" s="113">
        <v>24</v>
      </c>
      <c r="L66" s="90">
        <f t="shared" si="3"/>
        <v>47</v>
      </c>
      <c r="M66" s="117" t="s">
        <v>215</v>
      </c>
    </row>
    <row r="67" spans="2:13" hidden="1">
      <c r="B67" s="360">
        <v>60</v>
      </c>
      <c r="C67" s="87" t="str">
        <f t="shared" si="4"/>
        <v>B3</v>
      </c>
      <c r="D67" s="117"/>
      <c r="E67" s="369" t="s">
        <v>221</v>
      </c>
      <c r="F67" s="87" t="s">
        <v>678</v>
      </c>
      <c r="G67" s="87" t="s">
        <v>703</v>
      </c>
      <c r="H67" s="113">
        <v>23</v>
      </c>
      <c r="I67" s="87" t="s">
        <v>678</v>
      </c>
      <c r="J67" s="87" t="s">
        <v>255</v>
      </c>
      <c r="K67" s="113">
        <v>25</v>
      </c>
      <c r="L67" s="90">
        <f t="shared" si="3"/>
        <v>48</v>
      </c>
      <c r="M67" s="369" t="s">
        <v>221</v>
      </c>
    </row>
    <row r="68" spans="2:13" hidden="1">
      <c r="B68" s="360">
        <v>60</v>
      </c>
      <c r="C68" s="87" t="str">
        <f t="shared" si="4"/>
        <v>C3</v>
      </c>
      <c r="E68" s="370" t="s">
        <v>227</v>
      </c>
      <c r="F68" s="87" t="s">
        <v>678</v>
      </c>
      <c r="G68" s="87" t="s">
        <v>704</v>
      </c>
      <c r="H68" s="113">
        <v>23</v>
      </c>
      <c r="I68" s="87" t="s">
        <v>678</v>
      </c>
      <c r="J68" s="87" t="s">
        <v>255</v>
      </c>
      <c r="K68" s="113">
        <v>26</v>
      </c>
      <c r="L68" s="90">
        <f t="shared" si="3"/>
        <v>49</v>
      </c>
      <c r="M68" s="370" t="s">
        <v>227</v>
      </c>
    </row>
    <row r="69" spans="2:13" hidden="1">
      <c r="B69" s="360">
        <v>60</v>
      </c>
      <c r="C69" s="87" t="str">
        <f t="shared" si="4"/>
        <v>D3</v>
      </c>
      <c r="E69" s="370" t="s">
        <v>233</v>
      </c>
      <c r="F69" s="87" t="s">
        <v>678</v>
      </c>
      <c r="G69" s="87" t="s">
        <v>705</v>
      </c>
      <c r="H69" s="113">
        <v>23</v>
      </c>
      <c r="I69" s="87" t="s">
        <v>678</v>
      </c>
      <c r="J69" s="87" t="s">
        <v>255</v>
      </c>
      <c r="K69" s="113">
        <v>27</v>
      </c>
      <c r="L69" s="90">
        <f t="shared" si="3"/>
        <v>50</v>
      </c>
      <c r="M69" s="370" t="s">
        <v>233</v>
      </c>
    </row>
    <row r="70" spans="2:13" hidden="1">
      <c r="B70" s="360">
        <v>60</v>
      </c>
      <c r="C70" s="87" t="str">
        <f t="shared" ref="C70:C77" si="5">M70</f>
        <v>E3</v>
      </c>
      <c r="E70" s="370" t="s">
        <v>239</v>
      </c>
      <c r="F70" s="87" t="s">
        <v>678</v>
      </c>
      <c r="G70" s="87" t="s">
        <v>706</v>
      </c>
      <c r="H70" s="113">
        <v>23</v>
      </c>
      <c r="I70" s="87" t="s">
        <v>678</v>
      </c>
      <c r="J70" s="87" t="s">
        <v>255</v>
      </c>
      <c r="K70" s="113">
        <v>28</v>
      </c>
      <c r="L70" s="90">
        <f t="shared" si="3"/>
        <v>51</v>
      </c>
      <c r="M70" s="370" t="s">
        <v>239</v>
      </c>
    </row>
    <row r="71" spans="2:13" hidden="1">
      <c r="B71" s="360">
        <v>60</v>
      </c>
      <c r="C71" s="87" t="str">
        <f t="shared" si="5"/>
        <v>F3</v>
      </c>
      <c r="E71" s="370" t="s">
        <v>244</v>
      </c>
      <c r="F71" s="87" t="s">
        <v>678</v>
      </c>
      <c r="G71" s="87" t="s">
        <v>707</v>
      </c>
      <c r="H71" s="113">
        <v>24</v>
      </c>
      <c r="I71" s="87" t="s">
        <v>678</v>
      </c>
      <c r="J71" s="87" t="s">
        <v>255</v>
      </c>
      <c r="K71" s="113">
        <v>29</v>
      </c>
      <c r="L71" s="90">
        <f t="shared" si="3"/>
        <v>53</v>
      </c>
      <c r="M71" s="370" t="s">
        <v>244</v>
      </c>
    </row>
    <row r="72" spans="2:13" hidden="1">
      <c r="B72" s="360">
        <v>60</v>
      </c>
      <c r="C72" s="87" t="str">
        <f t="shared" si="5"/>
        <v>AB3</v>
      </c>
      <c r="E72" s="370" t="s">
        <v>336</v>
      </c>
      <c r="F72" s="87" t="s">
        <v>678</v>
      </c>
      <c r="G72" s="87" t="s">
        <v>708</v>
      </c>
      <c r="H72" s="113">
        <v>25</v>
      </c>
      <c r="I72" s="87" t="s">
        <v>678</v>
      </c>
      <c r="J72" s="87" t="s">
        <v>255</v>
      </c>
      <c r="K72" s="113">
        <v>30</v>
      </c>
      <c r="L72" s="90">
        <f t="shared" si="3"/>
        <v>55</v>
      </c>
      <c r="M72" s="370" t="s">
        <v>336</v>
      </c>
    </row>
    <row r="73" spans="2:13" hidden="1">
      <c r="B73" s="360">
        <v>60</v>
      </c>
      <c r="C73" s="87" t="str">
        <f t="shared" si="5"/>
        <v>AB4</v>
      </c>
      <c r="E73" s="117" t="s">
        <v>709</v>
      </c>
      <c r="F73" s="87" t="s">
        <v>678</v>
      </c>
      <c r="G73" s="87" t="s">
        <v>710</v>
      </c>
      <c r="H73" s="113">
        <v>26</v>
      </c>
      <c r="I73" s="87" t="s">
        <v>678</v>
      </c>
      <c r="J73" s="87" t="s">
        <v>255</v>
      </c>
      <c r="K73" s="113">
        <v>31</v>
      </c>
      <c r="L73" s="90">
        <f t="shared" si="3"/>
        <v>57</v>
      </c>
      <c r="M73" s="206" t="s">
        <v>337</v>
      </c>
    </row>
    <row r="74" spans="2:13" hidden="1">
      <c r="C74" s="87" t="str">
        <f t="shared" si="5"/>
        <v>A4</v>
      </c>
      <c r="E74" s="117" t="s">
        <v>323</v>
      </c>
      <c r="F74" s="87" t="s">
        <v>678</v>
      </c>
      <c r="G74" s="87" t="s">
        <v>711</v>
      </c>
      <c r="H74" s="113">
        <v>27</v>
      </c>
      <c r="I74" s="87" t="s">
        <v>678</v>
      </c>
      <c r="J74" s="87" t="s">
        <v>255</v>
      </c>
      <c r="K74" s="113">
        <v>32</v>
      </c>
      <c r="L74" s="90">
        <f t="shared" si="3"/>
        <v>59</v>
      </c>
      <c r="M74" s="206" t="s">
        <v>323</v>
      </c>
    </row>
    <row r="75" spans="2:13" hidden="1">
      <c r="C75" s="87" t="str">
        <f t="shared" si="5"/>
        <v>B4</v>
      </c>
      <c r="E75" s="117" t="s">
        <v>325</v>
      </c>
      <c r="F75" s="87" t="s">
        <v>678</v>
      </c>
      <c r="G75" s="87" t="s">
        <v>712</v>
      </c>
      <c r="H75" s="113">
        <v>28</v>
      </c>
      <c r="I75" s="87" t="s">
        <v>678</v>
      </c>
      <c r="J75" s="87" t="s">
        <v>255</v>
      </c>
      <c r="K75" s="113">
        <v>33</v>
      </c>
      <c r="L75" s="90">
        <f t="shared" si="3"/>
        <v>61</v>
      </c>
      <c r="M75" s="206" t="s">
        <v>325</v>
      </c>
    </row>
    <row r="76" spans="2:13" hidden="1">
      <c r="C76" s="87" t="str">
        <f t="shared" si="5"/>
        <v>C4</v>
      </c>
      <c r="E76" s="117" t="s">
        <v>326</v>
      </c>
      <c r="F76" s="87" t="s">
        <v>678</v>
      </c>
      <c r="G76" s="87" t="s">
        <v>713</v>
      </c>
      <c r="H76" s="113">
        <v>29</v>
      </c>
      <c r="I76" s="87" t="s">
        <v>678</v>
      </c>
      <c r="J76" s="87" t="s">
        <v>255</v>
      </c>
      <c r="K76" s="113">
        <v>34</v>
      </c>
      <c r="L76" s="90">
        <f t="shared" si="3"/>
        <v>63</v>
      </c>
      <c r="M76" s="206" t="s">
        <v>326</v>
      </c>
    </row>
    <row r="77" spans="2:13" hidden="1">
      <c r="C77" s="87" t="str">
        <f t="shared" si="5"/>
        <v>D4</v>
      </c>
      <c r="E77" s="117" t="s">
        <v>328</v>
      </c>
      <c r="F77" s="87" t="s">
        <v>678</v>
      </c>
      <c r="G77" s="87" t="s">
        <v>714</v>
      </c>
      <c r="H77" s="113">
        <v>30</v>
      </c>
      <c r="I77" s="87" t="s">
        <v>678</v>
      </c>
      <c r="J77" s="87" t="s">
        <v>255</v>
      </c>
      <c r="K77" s="113">
        <v>35</v>
      </c>
      <c r="L77" s="90">
        <f t="shared" si="3"/>
        <v>65</v>
      </c>
      <c r="M77" s="206" t="s">
        <v>328</v>
      </c>
    </row>
  </sheetData>
  <phoneticPr fontId="118" type="noConversion"/>
  <printOptions horizontalCentered="1"/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48"/>
  <sheetViews>
    <sheetView zoomScale="80" zoomScaleNormal="80" workbookViewId="0">
      <selection activeCell="B32" activeCellId="3" sqref="B23 B26 B29 B32"/>
    </sheetView>
  </sheetViews>
  <sheetFormatPr defaultRowHeight="17.25"/>
  <cols>
    <col min="1" max="1" width="3.6640625" style="121" customWidth="1"/>
    <col min="2" max="2" width="16.6640625" style="121" customWidth="1"/>
    <col min="3" max="3" width="17.109375" style="121" customWidth="1"/>
    <col min="4" max="4" width="18.6640625" style="121" customWidth="1"/>
    <col min="5" max="5" width="16.6640625" style="121" customWidth="1"/>
    <col min="6" max="6" width="17.6640625" style="121" customWidth="1"/>
    <col min="7" max="7" width="17" style="121" customWidth="1"/>
    <col min="8" max="11" width="10.6640625" style="121" customWidth="1"/>
    <col min="12" max="1025" width="7.6640625" style="121" customWidth="1"/>
  </cols>
  <sheetData>
    <row r="1" spans="3:6">
      <c r="C1" s="122" t="s">
        <v>715</v>
      </c>
      <c r="D1" s="123"/>
      <c r="E1" s="123"/>
      <c r="F1" s="124"/>
    </row>
    <row r="2" spans="3:6">
      <c r="C2" s="122"/>
      <c r="D2" s="123"/>
      <c r="E2" s="123"/>
      <c r="F2" s="124"/>
    </row>
    <row r="3" spans="3:6">
      <c r="C3" s="122" t="s">
        <v>358</v>
      </c>
      <c r="D3" s="123"/>
      <c r="E3" s="123"/>
      <c r="F3" s="124"/>
    </row>
    <row r="4" spans="3:6">
      <c r="C4" s="122" t="s">
        <v>359</v>
      </c>
      <c r="D4" s="123"/>
      <c r="E4" s="123"/>
      <c r="F4" s="124"/>
    </row>
    <row r="5" spans="3:6">
      <c r="C5" s="122" t="s">
        <v>360</v>
      </c>
      <c r="D5" s="123"/>
      <c r="E5" s="123"/>
      <c r="F5" s="124"/>
    </row>
    <row r="6" spans="3:6">
      <c r="C6" s="125" t="s">
        <v>361</v>
      </c>
      <c r="D6" s="125" t="s">
        <v>71</v>
      </c>
      <c r="E6" s="126"/>
      <c r="F6" s="124"/>
    </row>
    <row r="7" spans="3:6">
      <c r="C7" s="125" t="s">
        <v>362</v>
      </c>
      <c r="D7" s="125" t="s">
        <v>77</v>
      </c>
      <c r="E7" s="126"/>
      <c r="F7" s="124"/>
    </row>
    <row r="8" spans="3:6">
      <c r="C8" s="125" t="s">
        <v>363</v>
      </c>
      <c r="D8" s="125" t="s">
        <v>83</v>
      </c>
      <c r="E8" s="126"/>
      <c r="F8" s="124"/>
    </row>
    <row r="9" spans="3:6">
      <c r="C9" s="125" t="s">
        <v>364</v>
      </c>
      <c r="D9" s="125" t="s">
        <v>89</v>
      </c>
      <c r="E9" s="126"/>
      <c r="F9" s="124"/>
    </row>
    <row r="10" spans="3:6">
      <c r="C10" s="125" t="s">
        <v>365</v>
      </c>
      <c r="D10" s="125" t="s">
        <v>95</v>
      </c>
      <c r="E10" s="126"/>
      <c r="F10" s="124"/>
    </row>
    <row r="11" spans="3:6">
      <c r="C11" s="125" t="s">
        <v>366</v>
      </c>
      <c r="D11" s="125" t="s">
        <v>101</v>
      </c>
      <c r="E11" s="126"/>
      <c r="F11" s="124"/>
    </row>
    <row r="12" spans="3:6">
      <c r="C12" s="125" t="s">
        <v>367</v>
      </c>
      <c r="D12" s="125" t="s">
        <v>107</v>
      </c>
      <c r="E12" s="126"/>
      <c r="F12" s="124"/>
    </row>
    <row r="13" spans="3:6">
      <c r="C13" s="125" t="s">
        <v>368</v>
      </c>
      <c r="D13" s="125" t="s">
        <v>113</v>
      </c>
      <c r="E13" s="126"/>
      <c r="F13" s="124"/>
    </row>
    <row r="14" spans="3:6">
      <c r="C14" s="127" t="s">
        <v>369</v>
      </c>
      <c r="D14" s="124"/>
      <c r="E14" s="124"/>
      <c r="F14" s="124"/>
    </row>
    <row r="15" spans="3:6">
      <c r="C15" s="127" t="s">
        <v>370</v>
      </c>
      <c r="D15" s="124"/>
      <c r="E15" s="124"/>
      <c r="F15" s="124"/>
    </row>
    <row r="16" spans="3:6">
      <c r="C16" s="122"/>
      <c r="D16" s="124"/>
      <c r="E16" s="124"/>
      <c r="F16" s="124"/>
    </row>
    <row r="17" spans="2:7">
      <c r="C17" s="122" t="s">
        <v>371</v>
      </c>
      <c r="D17" s="124"/>
      <c r="E17" s="124"/>
      <c r="F17" s="124"/>
    </row>
    <row r="18" spans="2:7">
      <c r="C18" s="122"/>
      <c r="D18" s="231"/>
      <c r="E18" s="231"/>
      <c r="F18" s="231"/>
    </row>
    <row r="19" spans="2:7">
      <c r="C19" s="122"/>
      <c r="D19" s="371"/>
      <c r="E19" s="231"/>
      <c r="F19" s="231"/>
    </row>
    <row r="20" spans="2:7">
      <c r="C20" s="128"/>
      <c r="D20" s="129"/>
      <c r="E20" s="129"/>
      <c r="F20" s="129"/>
    </row>
    <row r="21" spans="2:7">
      <c r="C21" s="128"/>
      <c r="D21" s="129"/>
      <c r="E21" s="129"/>
      <c r="F21" s="129"/>
    </row>
    <row r="22" spans="2:7">
      <c r="C22" s="135"/>
      <c r="D22" s="129"/>
      <c r="E22" s="129"/>
      <c r="F22" s="129"/>
      <c r="G22" s="129"/>
    </row>
    <row r="23" spans="2:7" ht="18">
      <c r="B23" s="372" t="str">
        <f>女甲賽程!Q5</f>
        <v>荃青-AYY</v>
      </c>
      <c r="C23" s="373" t="s">
        <v>119</v>
      </c>
      <c r="D23" s="129"/>
      <c r="E23" s="374"/>
      <c r="F23" s="129"/>
      <c r="G23" s="129"/>
    </row>
    <row r="24" spans="2:7" ht="18">
      <c r="C24" s="134" t="s">
        <v>716</v>
      </c>
      <c r="D24" s="135"/>
      <c r="E24" s="140"/>
      <c r="F24" s="129"/>
    </row>
    <row r="25" spans="2:7" ht="18">
      <c r="C25" s="284"/>
      <c r="D25" s="372"/>
      <c r="E25" s="129"/>
      <c r="F25" s="129"/>
      <c r="G25" s="129"/>
    </row>
    <row r="26" spans="2:7" ht="18">
      <c r="B26" s="372" t="str">
        <f>女甲賽程!Q8</f>
        <v>Men</v>
      </c>
      <c r="C26" s="375" t="s">
        <v>323</v>
      </c>
      <c r="D26" s="376"/>
      <c r="E26" s="140"/>
      <c r="F26" s="129"/>
      <c r="G26" s="140"/>
    </row>
    <row r="27" spans="2:7" ht="18">
      <c r="C27" s="374"/>
      <c r="D27" s="134" t="s">
        <v>717</v>
      </c>
      <c r="E27" s="149"/>
      <c r="F27" s="372"/>
      <c r="G27" s="129"/>
    </row>
    <row r="28" spans="2:7" ht="18">
      <c r="C28" s="144"/>
      <c r="D28" s="377" t="s">
        <v>374</v>
      </c>
      <c r="G28" s="140"/>
    </row>
    <row r="29" spans="2:7" ht="18">
      <c r="B29" s="372" t="str">
        <f>女甲賽程!Q6</f>
        <v>羚靖</v>
      </c>
      <c r="C29" s="373" t="s">
        <v>209</v>
      </c>
      <c r="D29" s="376"/>
      <c r="E29" s="129"/>
      <c r="F29" s="129"/>
      <c r="G29" s="129"/>
    </row>
    <row r="30" spans="2:7" ht="18">
      <c r="C30" s="134" t="s">
        <v>718</v>
      </c>
      <c r="D30" s="372"/>
      <c r="F30" s="129"/>
    </row>
    <row r="31" spans="2:7" ht="18">
      <c r="C31" s="284"/>
      <c r="D31" s="378"/>
      <c r="E31" s="140"/>
      <c r="F31" s="129"/>
      <c r="G31" s="129"/>
    </row>
    <row r="32" spans="2:7" ht="18">
      <c r="B32" s="372" t="str">
        <f>女甲賽程!Q7</f>
        <v>ST</v>
      </c>
      <c r="C32" s="375" t="s">
        <v>215</v>
      </c>
      <c r="D32" s="129"/>
      <c r="E32" s="374"/>
      <c r="G32" s="129"/>
    </row>
    <row r="33" spans="2:10">
      <c r="C33" s="374"/>
      <c r="D33" s="129"/>
      <c r="E33" s="129"/>
      <c r="G33" s="129"/>
      <c r="H33" s="129"/>
      <c r="I33" s="129"/>
      <c r="J33" s="129"/>
    </row>
    <row r="34" spans="2:10">
      <c r="C34" s="129"/>
      <c r="D34" s="144"/>
    </row>
    <row r="35" spans="2:10" ht="18">
      <c r="C35" s="379"/>
      <c r="D35" s="380"/>
    </row>
    <row r="36" spans="2:10" ht="18">
      <c r="D36" s="381" t="s">
        <v>719</v>
      </c>
      <c r="E36" s="149"/>
      <c r="F36" s="372"/>
    </row>
    <row r="37" spans="2:10">
      <c r="D37" s="377" t="s">
        <v>381</v>
      </c>
    </row>
    <row r="38" spans="2:10">
      <c r="C38" s="135"/>
      <c r="D38" s="143"/>
    </row>
    <row r="39" spans="2:10">
      <c r="B39" s="150"/>
      <c r="C39" s="137"/>
      <c r="D39" s="382"/>
    </row>
    <row r="45" spans="2:10" ht="18">
      <c r="B45" s="154" t="s">
        <v>376</v>
      </c>
      <c r="C45" s="130" t="s">
        <v>377</v>
      </c>
      <c r="D45" s="372"/>
    </row>
    <row r="46" spans="2:10" ht="18">
      <c r="B46" s="154" t="s">
        <v>379</v>
      </c>
      <c r="C46" s="130" t="s">
        <v>380</v>
      </c>
      <c r="D46" s="372"/>
    </row>
    <row r="47" spans="2:10" ht="18">
      <c r="B47" s="154" t="s">
        <v>382</v>
      </c>
      <c r="C47" s="130" t="s">
        <v>383</v>
      </c>
      <c r="D47" s="372"/>
    </row>
    <row r="48" spans="2:10" ht="18">
      <c r="B48" s="154" t="s">
        <v>384</v>
      </c>
      <c r="C48" s="130" t="s">
        <v>385</v>
      </c>
      <c r="D48" s="372"/>
      <c r="G48" s="129"/>
    </row>
  </sheetData>
  <phoneticPr fontId="118" type="noConversion"/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115"/>
  <sheetViews>
    <sheetView zoomScale="85" zoomScaleNormal="85" workbookViewId="0">
      <selection activeCell="O15" sqref="O15"/>
    </sheetView>
  </sheetViews>
  <sheetFormatPr defaultRowHeight="17.25"/>
  <cols>
    <col min="1" max="1" width="7.6640625" style="160" customWidth="1"/>
    <col min="2" max="2" width="8.109375" style="160" customWidth="1"/>
    <col min="3" max="3" width="7.44140625" style="160" customWidth="1"/>
    <col min="4" max="4" width="10" style="160" customWidth="1"/>
    <col min="5" max="5" width="13.33203125" style="160" customWidth="1"/>
    <col min="6" max="6" width="4.33203125" style="160" customWidth="1"/>
    <col min="7" max="7" width="13.5546875" style="160" customWidth="1"/>
    <col min="8" max="8" width="19.21875" style="160" customWidth="1"/>
    <col min="9" max="9" width="2.6640625" style="160" customWidth="1"/>
    <col min="10" max="10" width="19.33203125" style="160" customWidth="1"/>
    <col min="11" max="14" width="7.6640625" style="161" customWidth="1"/>
    <col min="15" max="15" width="30.6640625" style="160" customWidth="1"/>
    <col min="16" max="16" width="7.6640625" style="160" customWidth="1"/>
    <col min="17" max="17" width="14.44140625" style="160" customWidth="1"/>
    <col min="18" max="1025" width="7.6640625" style="160" customWidth="1"/>
  </cols>
  <sheetData>
    <row r="1" spans="2:21">
      <c r="B1" s="383" t="s">
        <v>720</v>
      </c>
      <c r="C1" s="384"/>
      <c r="D1" s="302"/>
      <c r="E1" s="303"/>
      <c r="F1" s="167"/>
      <c r="G1" s="385"/>
      <c r="H1" s="303"/>
      <c r="I1" s="303"/>
      <c r="J1" s="167"/>
      <c r="K1" s="167"/>
      <c r="L1" s="167"/>
      <c r="M1" s="167"/>
    </row>
    <row r="2" spans="2:21">
      <c r="B2" s="386" t="s">
        <v>721</v>
      </c>
      <c r="C2" s="384"/>
      <c r="D2" s="302"/>
      <c r="E2" s="303"/>
      <c r="F2" s="167"/>
      <c r="G2" s="385"/>
      <c r="H2" s="303"/>
      <c r="I2" s="303"/>
      <c r="J2" s="167"/>
      <c r="K2" s="167"/>
      <c r="L2" s="167"/>
      <c r="M2" s="167"/>
    </row>
    <row r="3" spans="2:21">
      <c r="B3" s="167"/>
      <c r="C3" s="167"/>
      <c r="D3" s="167"/>
      <c r="E3" s="167"/>
      <c r="F3" s="305"/>
      <c r="H3" s="659" t="s">
        <v>399</v>
      </c>
      <c r="I3" s="659"/>
      <c r="J3" s="659"/>
      <c r="K3" s="388" t="s">
        <v>388</v>
      </c>
      <c r="L3" s="387" t="s">
        <v>389</v>
      </c>
      <c r="M3" s="387" t="s">
        <v>389</v>
      </c>
      <c r="N3" s="387" t="s">
        <v>388</v>
      </c>
    </row>
    <row r="4" spans="2:21">
      <c r="B4" s="20"/>
      <c r="C4" s="306" t="s">
        <v>391</v>
      </c>
      <c r="D4" s="389" t="s">
        <v>392</v>
      </c>
      <c r="E4" s="110"/>
      <c r="F4" s="390" t="s">
        <v>393</v>
      </c>
      <c r="G4" s="306"/>
      <c r="H4" s="391" t="s">
        <v>394</v>
      </c>
      <c r="I4" s="392"/>
      <c r="J4" s="391" t="s">
        <v>395</v>
      </c>
      <c r="K4" s="306"/>
      <c r="L4" s="306"/>
      <c r="M4" s="306"/>
      <c r="N4" s="180"/>
      <c r="P4" s="187" t="s">
        <v>400</v>
      </c>
      <c r="Q4" s="188" t="s">
        <v>50</v>
      </c>
      <c r="R4" s="188" t="s">
        <v>401</v>
      </c>
      <c r="S4" s="188" t="s">
        <v>402</v>
      </c>
      <c r="T4" s="188" t="s">
        <v>403</v>
      </c>
      <c r="U4" s="188" t="s">
        <v>61</v>
      </c>
    </row>
    <row r="5" spans="2:21" ht="16.5" customHeight="1">
      <c r="B5" s="20"/>
      <c r="C5" s="393" t="s">
        <v>397</v>
      </c>
      <c r="D5" s="394" t="s">
        <v>398</v>
      </c>
      <c r="E5" s="110"/>
      <c r="F5" s="395" t="s">
        <v>399</v>
      </c>
      <c r="G5" s="396"/>
      <c r="H5" s="306" t="s">
        <v>51</v>
      </c>
      <c r="I5" s="306"/>
      <c r="J5" s="306" t="s">
        <v>51</v>
      </c>
      <c r="K5" s="388"/>
      <c r="L5" s="306"/>
      <c r="M5" s="306"/>
      <c r="N5" s="180"/>
      <c r="P5" s="179">
        <v>1</v>
      </c>
      <c r="Q5" s="320" t="s">
        <v>722</v>
      </c>
      <c r="R5" s="199">
        <v>6</v>
      </c>
      <c r="S5" s="199">
        <v>1</v>
      </c>
      <c r="T5" s="199">
        <v>0</v>
      </c>
      <c r="U5" s="199">
        <f t="shared" ref="U5:U12" si="0">R5*3+S5*1+T5*0</f>
        <v>19</v>
      </c>
    </row>
    <row r="6" spans="2:21">
      <c r="B6" s="190">
        <v>1</v>
      </c>
      <c r="C6" s="191" t="s">
        <v>404</v>
      </c>
      <c r="D6" s="192">
        <v>1</v>
      </c>
      <c r="E6" s="186" t="s">
        <v>83</v>
      </c>
      <c r="F6" s="213" t="s">
        <v>405</v>
      </c>
      <c r="G6" s="397" t="s">
        <v>113</v>
      </c>
      <c r="H6" s="180" t="str">
        <f>VLOOKUP(E6,WD!$C$6:$K$73,3,0)</f>
        <v>羚靖</v>
      </c>
      <c r="I6" s="196" t="s">
        <v>405</v>
      </c>
      <c r="J6" s="180" t="str">
        <f>VLOOKUP(G6,WD!$C$6:$K$73,3,0)</f>
        <v>Yumika</v>
      </c>
      <c r="K6" s="197">
        <v>2</v>
      </c>
      <c r="L6" s="180">
        <f>21+21</f>
        <v>42</v>
      </c>
      <c r="M6" s="180">
        <v>0</v>
      </c>
      <c r="N6" s="180">
        <v>0</v>
      </c>
      <c r="O6" s="198" t="s">
        <v>723</v>
      </c>
      <c r="P6" s="179">
        <v>2</v>
      </c>
      <c r="Q6" s="320" t="s">
        <v>565</v>
      </c>
      <c r="R6" s="199">
        <v>4</v>
      </c>
      <c r="S6" s="199">
        <v>3</v>
      </c>
      <c r="T6" s="199">
        <v>0</v>
      </c>
      <c r="U6" s="199">
        <f t="shared" si="0"/>
        <v>15</v>
      </c>
    </row>
    <row r="7" spans="2:21">
      <c r="B7" s="201">
        <v>2</v>
      </c>
      <c r="C7" s="191" t="s">
        <v>404</v>
      </c>
      <c r="D7" s="192">
        <v>2</v>
      </c>
      <c r="E7" s="186" t="s">
        <v>89</v>
      </c>
      <c r="F7" s="213" t="s">
        <v>405</v>
      </c>
      <c r="G7" s="397" t="s">
        <v>107</v>
      </c>
      <c r="H7" s="180" t="str">
        <f>VLOOKUP(E7,WD!$C$6:$K$73,3,0)</f>
        <v>Men</v>
      </c>
      <c r="I7" s="196" t="s">
        <v>405</v>
      </c>
      <c r="J7" s="180" t="str">
        <f>VLOOKUP(G7,WD!$C$6:$K$73,3,0)</f>
        <v>SURVIVOR</v>
      </c>
      <c r="K7" s="197">
        <v>2</v>
      </c>
      <c r="L7" s="180">
        <f>21+21</f>
        <v>42</v>
      </c>
      <c r="M7" s="180">
        <f>9+19</f>
        <v>28</v>
      </c>
      <c r="N7" s="180">
        <v>0</v>
      </c>
      <c r="O7" s="198" t="s">
        <v>724</v>
      </c>
      <c r="P7" s="179">
        <v>3</v>
      </c>
      <c r="Q7" s="199" t="s">
        <v>555</v>
      </c>
      <c r="R7" s="199">
        <v>4</v>
      </c>
      <c r="S7" s="199">
        <v>2</v>
      </c>
      <c r="T7" s="199">
        <v>1</v>
      </c>
      <c r="U7" s="199">
        <f t="shared" si="0"/>
        <v>14</v>
      </c>
    </row>
    <row r="8" spans="2:21">
      <c r="B8" s="190">
        <v>3</v>
      </c>
      <c r="C8" s="191" t="s">
        <v>404</v>
      </c>
      <c r="D8" s="192">
        <v>3</v>
      </c>
      <c r="E8" s="186" t="s">
        <v>71</v>
      </c>
      <c r="F8" s="213" t="s">
        <v>405</v>
      </c>
      <c r="G8" s="397" t="s">
        <v>101</v>
      </c>
      <c r="H8" s="180" t="str">
        <f>VLOOKUP(E8,WD!$C$6:$K$73,3,0)</f>
        <v>ST</v>
      </c>
      <c r="I8" s="196" t="s">
        <v>405</v>
      </c>
      <c r="J8" s="180" t="str">
        <f>VLOOKUP(G8,WD!$C$6:$K$73,3,0)</f>
        <v>YhtNyi</v>
      </c>
      <c r="K8" s="197">
        <v>2</v>
      </c>
      <c r="L8" s="180">
        <f>21+21</f>
        <v>42</v>
      </c>
      <c r="M8" s="180">
        <f>7+9</f>
        <v>16</v>
      </c>
      <c r="N8" s="180">
        <v>0</v>
      </c>
      <c r="O8" s="198" t="s">
        <v>725</v>
      </c>
      <c r="P8" s="179">
        <v>4</v>
      </c>
      <c r="Q8" s="199" t="s">
        <v>570</v>
      </c>
      <c r="R8" s="199">
        <v>4</v>
      </c>
      <c r="S8" s="199">
        <v>1</v>
      </c>
      <c r="T8" s="199">
        <v>2</v>
      </c>
      <c r="U8" s="199">
        <f t="shared" si="0"/>
        <v>13</v>
      </c>
    </row>
    <row r="9" spans="2:21">
      <c r="B9" s="201">
        <v>4</v>
      </c>
      <c r="C9" s="191" t="s">
        <v>404</v>
      </c>
      <c r="D9" s="192">
        <v>4</v>
      </c>
      <c r="E9" s="398" t="s">
        <v>95</v>
      </c>
      <c r="F9" s="217" t="s">
        <v>405</v>
      </c>
      <c r="G9" s="399" t="s">
        <v>77</v>
      </c>
      <c r="H9" s="180" t="str">
        <f>VLOOKUP(E9,WD!$C$6:$K$73,3,0)</f>
        <v xml:space="preserve">Acti tape </v>
      </c>
      <c r="I9" s="196" t="s">
        <v>405</v>
      </c>
      <c r="J9" s="180" t="str">
        <f>VLOOKUP(G9,WD!$C$6:$K$73,3,0)</f>
        <v>荃青—AYY</v>
      </c>
      <c r="K9" s="197">
        <v>0</v>
      </c>
      <c r="L9" s="180">
        <f>12+14</f>
        <v>26</v>
      </c>
      <c r="M9" s="180">
        <f>21+21</f>
        <v>42</v>
      </c>
      <c r="N9" s="180">
        <v>2</v>
      </c>
      <c r="O9" s="198" t="s">
        <v>726</v>
      </c>
      <c r="P9" s="179">
        <v>5</v>
      </c>
      <c r="Q9" s="199" t="s">
        <v>727</v>
      </c>
      <c r="R9" s="199">
        <v>2</v>
      </c>
      <c r="S9" s="199">
        <v>2</v>
      </c>
      <c r="T9" s="199">
        <v>3</v>
      </c>
      <c r="U9" s="199">
        <f t="shared" si="0"/>
        <v>8</v>
      </c>
    </row>
    <row r="10" spans="2:21">
      <c r="B10" s="190">
        <v>5</v>
      </c>
      <c r="C10" s="191" t="s">
        <v>404</v>
      </c>
      <c r="D10" s="192">
        <v>5</v>
      </c>
      <c r="E10" s="186" t="s">
        <v>77</v>
      </c>
      <c r="F10" s="213" t="s">
        <v>405</v>
      </c>
      <c r="G10" s="397" t="s">
        <v>107</v>
      </c>
      <c r="H10" s="180" t="str">
        <f>VLOOKUP(E10,WD!$C$6:$K$73,3,0)</f>
        <v>荃青—AYY</v>
      </c>
      <c r="I10" s="196" t="s">
        <v>405</v>
      </c>
      <c r="J10" s="180" t="str">
        <f>VLOOKUP(G10,WD!$C$6:$K$73,3,0)</f>
        <v>SURVIVOR</v>
      </c>
      <c r="K10" s="197">
        <v>2</v>
      </c>
      <c r="L10" s="180">
        <f>21+21</f>
        <v>42</v>
      </c>
      <c r="M10" s="180">
        <f>8+8</f>
        <v>16</v>
      </c>
      <c r="N10" s="180">
        <v>0</v>
      </c>
      <c r="O10" s="198" t="s">
        <v>728</v>
      </c>
      <c r="P10" s="179">
        <v>6</v>
      </c>
      <c r="Q10" s="199" t="s">
        <v>580</v>
      </c>
      <c r="R10" s="199">
        <v>2</v>
      </c>
      <c r="S10" s="199">
        <v>1</v>
      </c>
      <c r="T10" s="199">
        <v>3</v>
      </c>
      <c r="U10" s="199">
        <f t="shared" si="0"/>
        <v>7</v>
      </c>
    </row>
    <row r="11" spans="2:21">
      <c r="B11" s="201">
        <v>6</v>
      </c>
      <c r="C11" s="191" t="s">
        <v>404</v>
      </c>
      <c r="D11" s="192">
        <v>6</v>
      </c>
      <c r="E11" s="186" t="s">
        <v>101</v>
      </c>
      <c r="F11" s="213" t="s">
        <v>405</v>
      </c>
      <c r="G11" s="397" t="s">
        <v>83</v>
      </c>
      <c r="H11" s="180" t="str">
        <f>VLOOKUP(E11,WD!$C$6:$K$73,3,0)</f>
        <v>YhtNyi</v>
      </c>
      <c r="I11" s="196" t="s">
        <v>405</v>
      </c>
      <c r="J11" s="180" t="str">
        <f>VLOOKUP(G11,WD!$C$6:$K$73,3,0)</f>
        <v>羚靖</v>
      </c>
      <c r="K11" s="197">
        <v>0</v>
      </c>
      <c r="L11" s="180">
        <f>13+15</f>
        <v>28</v>
      </c>
      <c r="M11" s="180">
        <f>21+21</f>
        <v>42</v>
      </c>
      <c r="N11" s="180">
        <v>2</v>
      </c>
      <c r="O11" s="198" t="s">
        <v>729</v>
      </c>
      <c r="P11" s="179">
        <v>7</v>
      </c>
      <c r="Q11" s="199" t="s">
        <v>585</v>
      </c>
      <c r="R11" s="199">
        <v>1</v>
      </c>
      <c r="S11" s="199">
        <v>0</v>
      </c>
      <c r="T11" s="199">
        <v>6</v>
      </c>
      <c r="U11" s="199">
        <f t="shared" si="0"/>
        <v>3</v>
      </c>
    </row>
    <row r="12" spans="2:21">
      <c r="B12" s="190">
        <v>7</v>
      </c>
      <c r="C12" s="191" t="s">
        <v>404</v>
      </c>
      <c r="D12" s="192">
        <v>7</v>
      </c>
      <c r="E12" s="186" t="s">
        <v>95</v>
      </c>
      <c r="F12" s="213" t="s">
        <v>405</v>
      </c>
      <c r="G12" s="397" t="s">
        <v>89</v>
      </c>
      <c r="H12" s="180" t="str">
        <f>VLOOKUP(E12,WD!$C$6:$K$73,3,0)</f>
        <v xml:space="preserve">Acti tape </v>
      </c>
      <c r="I12" s="196" t="s">
        <v>405</v>
      </c>
      <c r="J12" s="180" t="str">
        <f>VLOOKUP(G12,WD!$C$6:$K$73,3,0)</f>
        <v>Men</v>
      </c>
      <c r="K12" s="197">
        <v>0</v>
      </c>
      <c r="L12" s="180">
        <f>17+14</f>
        <v>31</v>
      </c>
      <c r="M12" s="180">
        <f>21+21</f>
        <v>42</v>
      </c>
      <c r="N12" s="180">
        <v>2</v>
      </c>
      <c r="O12" s="198" t="s">
        <v>730</v>
      </c>
      <c r="P12" s="179">
        <v>8</v>
      </c>
      <c r="Q12" s="199" t="s">
        <v>590</v>
      </c>
      <c r="R12" s="199">
        <v>0</v>
      </c>
      <c r="S12" s="199">
        <v>0</v>
      </c>
      <c r="T12" s="199">
        <v>7</v>
      </c>
      <c r="U12" s="199">
        <f t="shared" si="0"/>
        <v>0</v>
      </c>
    </row>
    <row r="13" spans="2:21">
      <c r="B13" s="201">
        <v>8</v>
      </c>
      <c r="C13" s="191" t="s">
        <v>404</v>
      </c>
      <c r="D13" s="192">
        <v>8</v>
      </c>
      <c r="E13" s="398" t="s">
        <v>71</v>
      </c>
      <c r="F13" s="217" t="s">
        <v>405</v>
      </c>
      <c r="G13" s="399" t="s">
        <v>113</v>
      </c>
      <c r="H13" s="180" t="str">
        <f>VLOOKUP(E13,WD!$C$6:$K$73,3,0)</f>
        <v>ST</v>
      </c>
      <c r="I13" s="196" t="s">
        <v>405</v>
      </c>
      <c r="J13" s="180" t="str">
        <f>VLOOKUP(G13,WD!$C$6:$K$73,3,0)</f>
        <v>Yumika</v>
      </c>
      <c r="K13" s="197">
        <v>2</v>
      </c>
      <c r="L13" s="180">
        <f>21+21</f>
        <v>42</v>
      </c>
      <c r="M13" s="180">
        <f>10+9</f>
        <v>19</v>
      </c>
      <c r="N13" s="180">
        <v>0</v>
      </c>
      <c r="O13" s="198" t="s">
        <v>731</v>
      </c>
      <c r="P13" s="20"/>
      <c r="Q13" s="20"/>
      <c r="R13" s="20"/>
      <c r="S13" s="20"/>
      <c r="T13" s="20"/>
      <c r="U13" s="20"/>
    </row>
    <row r="14" spans="2:21">
      <c r="B14" s="190">
        <v>9</v>
      </c>
      <c r="C14" s="191" t="s">
        <v>404</v>
      </c>
      <c r="D14" s="192">
        <v>9</v>
      </c>
      <c r="E14" s="186" t="s">
        <v>101</v>
      </c>
      <c r="F14" s="213" t="s">
        <v>405</v>
      </c>
      <c r="G14" s="397" t="s">
        <v>89</v>
      </c>
      <c r="H14" s="180" t="str">
        <f>VLOOKUP(E14,WD!$C$6:$K$73,3,0)</f>
        <v>YhtNyi</v>
      </c>
      <c r="I14" s="196" t="s">
        <v>405</v>
      </c>
      <c r="J14" s="180" t="str">
        <f>VLOOKUP(G14,WD!$C$6:$K$73,3,0)</f>
        <v>Men</v>
      </c>
      <c r="K14" s="197">
        <v>0</v>
      </c>
      <c r="L14" s="180">
        <f>16+6</f>
        <v>22</v>
      </c>
      <c r="M14" s="180">
        <f>21+21</f>
        <v>42</v>
      </c>
      <c r="N14" s="180">
        <v>2</v>
      </c>
      <c r="O14" s="198" t="s">
        <v>732</v>
      </c>
      <c r="P14" s="20"/>
      <c r="Q14" s="20"/>
      <c r="R14" s="205" t="s">
        <v>418</v>
      </c>
      <c r="S14" s="205" t="s">
        <v>419</v>
      </c>
      <c r="T14" s="205" t="s">
        <v>420</v>
      </c>
      <c r="U14" s="20"/>
    </row>
    <row r="15" spans="2:21">
      <c r="B15" s="201">
        <v>10</v>
      </c>
      <c r="C15" s="191" t="s">
        <v>404</v>
      </c>
      <c r="D15" s="192">
        <v>10</v>
      </c>
      <c r="E15" s="186" t="s">
        <v>71</v>
      </c>
      <c r="F15" s="213" t="s">
        <v>405</v>
      </c>
      <c r="G15" s="397" t="s">
        <v>77</v>
      </c>
      <c r="H15" s="180" t="str">
        <f>VLOOKUP(E15,WD!$C$6:$K$73,3,0)</f>
        <v>ST</v>
      </c>
      <c r="I15" s="196" t="s">
        <v>405</v>
      </c>
      <c r="J15" s="180" t="str">
        <f>VLOOKUP(G15,WD!$C$6:$K$73,3,0)</f>
        <v>荃青—AYY</v>
      </c>
      <c r="K15" s="197">
        <v>0</v>
      </c>
      <c r="L15" s="180">
        <v>0</v>
      </c>
      <c r="M15" s="180">
        <v>42</v>
      </c>
      <c r="N15" s="180">
        <v>2</v>
      </c>
      <c r="O15" s="198" t="s">
        <v>733</v>
      </c>
      <c r="P15" s="20"/>
      <c r="Q15" s="206" t="s">
        <v>555</v>
      </c>
      <c r="R15" s="117">
        <f>L8+L13+L15+M21+L24+L29+M32</f>
        <v>239</v>
      </c>
      <c r="S15" s="117">
        <f>M8+M13+M15+L21+M24+M29+L32</f>
        <v>189</v>
      </c>
      <c r="T15" s="207">
        <f t="shared" ref="T15:T22" si="1">R15/S15</f>
        <v>1.2645502645502646</v>
      </c>
      <c r="U15" s="20"/>
    </row>
    <row r="16" spans="2:21">
      <c r="B16" s="190">
        <v>11</v>
      </c>
      <c r="C16" s="191" t="s">
        <v>404</v>
      </c>
      <c r="D16" s="192">
        <v>11</v>
      </c>
      <c r="E16" s="186" t="s">
        <v>107</v>
      </c>
      <c r="F16" s="213" t="s">
        <v>405</v>
      </c>
      <c r="G16" s="397" t="s">
        <v>83</v>
      </c>
      <c r="H16" s="180" t="str">
        <f>VLOOKUP(E16,WD!$C$6:$K$73,3,0)</f>
        <v>SURVIVOR</v>
      </c>
      <c r="I16" s="196" t="s">
        <v>405</v>
      </c>
      <c r="J16" s="180" t="str">
        <f>VLOOKUP(G16,WD!$C$6:$K$73,3,0)</f>
        <v>羚靖</v>
      </c>
      <c r="K16" s="197">
        <v>0</v>
      </c>
      <c r="L16" s="180">
        <f>12+14</f>
        <v>26</v>
      </c>
      <c r="M16" s="180">
        <f>21+21</f>
        <v>42</v>
      </c>
      <c r="N16" s="180">
        <v>2</v>
      </c>
      <c r="O16" s="198" t="s">
        <v>726</v>
      </c>
      <c r="P16" s="20"/>
      <c r="Q16" s="20" t="s">
        <v>734</v>
      </c>
      <c r="R16" s="117">
        <f>M9+M15+L10+M20+M25+L28+M31</f>
        <v>293</v>
      </c>
      <c r="S16" s="117">
        <f>L9+M10+L15+L20+L25+L31</f>
        <v>104</v>
      </c>
      <c r="T16" s="207">
        <f t="shared" si="1"/>
        <v>2.8173076923076925</v>
      </c>
      <c r="U16" s="20"/>
    </row>
    <row r="17" spans="2:21">
      <c r="B17" s="201">
        <v>12</v>
      </c>
      <c r="C17" s="191" t="s">
        <v>404</v>
      </c>
      <c r="D17" s="192">
        <v>12</v>
      </c>
      <c r="E17" s="398" t="s">
        <v>113</v>
      </c>
      <c r="F17" s="217" t="s">
        <v>405</v>
      </c>
      <c r="G17" s="399" t="s">
        <v>95</v>
      </c>
      <c r="H17" s="180" t="str">
        <f>VLOOKUP(E17,WD!$C$6:$K$73,3,0)</f>
        <v>Yumika</v>
      </c>
      <c r="I17" s="196" t="s">
        <v>405</v>
      </c>
      <c r="J17" s="180" t="str">
        <f>VLOOKUP(G17,WD!$C$6:$K$73,3,0)</f>
        <v xml:space="preserve">Acti tape </v>
      </c>
      <c r="K17" s="197">
        <v>0</v>
      </c>
      <c r="L17" s="180">
        <f>11+13</f>
        <v>24</v>
      </c>
      <c r="M17" s="180">
        <f>21+21</f>
        <v>42</v>
      </c>
      <c r="N17" s="180">
        <v>2</v>
      </c>
      <c r="O17" s="198" t="s">
        <v>735</v>
      </c>
      <c r="P17" s="20"/>
      <c r="Q17" s="20" t="s">
        <v>565</v>
      </c>
      <c r="R17" s="117">
        <f>L6+M11+M16+M19+M24+M28+M33</f>
        <v>279</v>
      </c>
      <c r="S17" s="117">
        <f>M6+L11+L16+L19+L24+L28+L33</f>
        <v>194</v>
      </c>
      <c r="T17" s="207">
        <f t="shared" si="1"/>
        <v>1.4381443298969072</v>
      </c>
      <c r="U17" s="20"/>
    </row>
    <row r="18" spans="2:21">
      <c r="B18" s="190">
        <v>13</v>
      </c>
      <c r="C18" s="191" t="s">
        <v>404</v>
      </c>
      <c r="D18" s="192">
        <v>13</v>
      </c>
      <c r="E18" s="186" t="s">
        <v>101</v>
      </c>
      <c r="F18" s="213" t="s">
        <v>405</v>
      </c>
      <c r="G18" s="397" t="s">
        <v>107</v>
      </c>
      <c r="H18" s="180" t="str">
        <f>VLOOKUP(E18,WD!$C$6:$K$73,3,0)</f>
        <v>YhtNyi</v>
      </c>
      <c r="I18" s="196" t="s">
        <v>405</v>
      </c>
      <c r="J18" s="180" t="str">
        <f>VLOOKUP(G18,WD!$C$6:$K$73,3,0)</f>
        <v>SURVIVOR</v>
      </c>
      <c r="K18" s="197">
        <v>2</v>
      </c>
      <c r="L18" s="180">
        <f>21+21</f>
        <v>42</v>
      </c>
      <c r="M18" s="180">
        <f>9+19</f>
        <v>28</v>
      </c>
      <c r="N18" s="180">
        <v>0</v>
      </c>
      <c r="O18" s="198" t="s">
        <v>724</v>
      </c>
      <c r="P18" s="20"/>
      <c r="Q18" s="206" t="s">
        <v>570</v>
      </c>
      <c r="R18" s="117">
        <f>L7+M14+M12+L19+L25+M29+L30</f>
        <v>272</v>
      </c>
      <c r="S18" s="117">
        <f>M7+L12+L14+M19+M25+L29+M30</f>
        <v>206</v>
      </c>
      <c r="T18" s="207">
        <f t="shared" si="1"/>
        <v>1.3203883495145632</v>
      </c>
      <c r="U18" s="20"/>
    </row>
    <row r="19" spans="2:21">
      <c r="B19" s="201">
        <v>14</v>
      </c>
      <c r="C19" s="191" t="s">
        <v>404</v>
      </c>
      <c r="D19" s="192">
        <v>14</v>
      </c>
      <c r="E19" s="186" t="s">
        <v>89</v>
      </c>
      <c r="F19" s="213" t="s">
        <v>405</v>
      </c>
      <c r="G19" s="397" t="s">
        <v>83</v>
      </c>
      <c r="H19" s="180" t="str">
        <f>VLOOKUP(E19,WD!$C$6:$K$73,3,0)</f>
        <v>Men</v>
      </c>
      <c r="I19" s="196" t="s">
        <v>405</v>
      </c>
      <c r="J19" s="180" t="str">
        <f>VLOOKUP(G19,WD!$C$6:$K$73,3,0)</f>
        <v>羚靖</v>
      </c>
      <c r="K19" s="197">
        <v>0</v>
      </c>
      <c r="L19" s="180">
        <f>18+13</f>
        <v>31</v>
      </c>
      <c r="M19" s="180">
        <f>21+21</f>
        <v>42</v>
      </c>
      <c r="N19" s="180">
        <v>2</v>
      </c>
      <c r="O19" s="198" t="s">
        <v>414</v>
      </c>
      <c r="Q19" s="198" t="s">
        <v>575</v>
      </c>
      <c r="R19" s="161">
        <f>L9+L12+M17+L21+M22+L26+L33</f>
        <v>242</v>
      </c>
      <c r="S19" s="161">
        <f>M9+L22+M12+L17+M26+M33</f>
        <v>201</v>
      </c>
      <c r="T19" s="207">
        <f t="shared" si="1"/>
        <v>1.2039800995024876</v>
      </c>
    </row>
    <row r="20" spans="2:21">
      <c r="B20" s="190">
        <v>15</v>
      </c>
      <c r="C20" s="191" t="s">
        <v>404</v>
      </c>
      <c r="D20" s="192">
        <v>15</v>
      </c>
      <c r="E20" s="186" t="s">
        <v>113</v>
      </c>
      <c r="F20" s="213" t="s">
        <v>405</v>
      </c>
      <c r="G20" s="397" t="s">
        <v>77</v>
      </c>
      <c r="H20" s="180" t="str">
        <f>VLOOKUP(E20,WD!$C$6:$K$73,3,0)</f>
        <v>Yumika</v>
      </c>
      <c r="I20" s="196" t="s">
        <v>405</v>
      </c>
      <c r="J20" s="180" t="str">
        <f>VLOOKUP(G20,WD!$C$6:$K$73,3,0)</f>
        <v>荃青—AYY</v>
      </c>
      <c r="K20" s="197">
        <v>0</v>
      </c>
      <c r="L20" s="180">
        <v>0</v>
      </c>
      <c r="M20" s="180">
        <v>42</v>
      </c>
      <c r="N20" s="180">
        <v>2</v>
      </c>
      <c r="O20" s="198" t="s">
        <v>723</v>
      </c>
      <c r="Q20" s="198" t="s">
        <v>580</v>
      </c>
      <c r="R20" s="161">
        <f>M8+L14+L11+L18+M23+M26+L31</f>
        <v>211</v>
      </c>
      <c r="S20" s="161">
        <f>L8+M11+M14+M18+L23+L26+M31</f>
        <v>233</v>
      </c>
      <c r="T20" s="207">
        <f t="shared" si="1"/>
        <v>0.90557939914163088</v>
      </c>
    </row>
    <row r="21" spans="2:21">
      <c r="B21" s="201">
        <v>16</v>
      </c>
      <c r="C21" s="191" t="s">
        <v>404</v>
      </c>
      <c r="D21" s="192">
        <v>16</v>
      </c>
      <c r="E21" s="398" t="s">
        <v>95</v>
      </c>
      <c r="F21" s="217" t="s">
        <v>405</v>
      </c>
      <c r="G21" s="399" t="s">
        <v>71</v>
      </c>
      <c r="H21" s="180" t="str">
        <f>VLOOKUP(E21,WD!$C$6:$K$73,3,0)</f>
        <v xml:space="preserve">Acti tape </v>
      </c>
      <c r="I21" s="196" t="s">
        <v>405</v>
      </c>
      <c r="J21" s="180" t="str">
        <f>VLOOKUP(G21,WD!$C$6:$K$73,3,0)</f>
        <v>ST</v>
      </c>
      <c r="K21" s="197">
        <v>0</v>
      </c>
      <c r="L21" s="180">
        <f>11+15</f>
        <v>26</v>
      </c>
      <c r="M21" s="180">
        <f>21+21</f>
        <v>42</v>
      </c>
      <c r="N21" s="180">
        <v>2</v>
      </c>
      <c r="O21" s="198" t="s">
        <v>736</v>
      </c>
      <c r="Q21" s="198" t="s">
        <v>585</v>
      </c>
      <c r="R21" s="161">
        <f>L22+M7+M10+L16+M18+M27+L32</f>
        <v>176</v>
      </c>
      <c r="S21" s="161">
        <f>M22+L7+L10+M16+L27+M32</f>
        <v>210</v>
      </c>
      <c r="T21" s="207">
        <f t="shared" si="1"/>
        <v>0.83809523809523812</v>
      </c>
    </row>
    <row r="22" spans="2:21">
      <c r="B22" s="190">
        <v>17</v>
      </c>
      <c r="C22" s="191" t="s">
        <v>404</v>
      </c>
      <c r="D22" s="192">
        <v>17</v>
      </c>
      <c r="E22" s="186" t="s">
        <v>107</v>
      </c>
      <c r="F22" s="213" t="s">
        <v>405</v>
      </c>
      <c r="G22" s="397" t="s">
        <v>95</v>
      </c>
      <c r="H22" s="180" t="str">
        <f>VLOOKUP(E22,WD!$C$6:$K$73,3,0)</f>
        <v>SURVIVOR</v>
      </c>
      <c r="I22" s="196" t="s">
        <v>405</v>
      </c>
      <c r="J22" s="180" t="str">
        <f>VLOOKUP(G22,WD!$C$6:$K$73,3,0)</f>
        <v xml:space="preserve">Acti tape </v>
      </c>
      <c r="K22" s="197">
        <v>0</v>
      </c>
      <c r="L22" s="180">
        <f>10+10</f>
        <v>20</v>
      </c>
      <c r="M22" s="180">
        <f>21+21</f>
        <v>42</v>
      </c>
      <c r="N22" s="180">
        <v>2</v>
      </c>
      <c r="O22" s="198" t="s">
        <v>737</v>
      </c>
      <c r="Q22" s="198" t="s">
        <v>590</v>
      </c>
      <c r="R22" s="161">
        <f>M6+M13+L17+L20+L23+L27+M30</f>
        <v>43</v>
      </c>
      <c r="S22" s="161">
        <f>L6+L13+M17+M20+M23+M27+L30</f>
        <v>294</v>
      </c>
      <c r="T22" s="207">
        <f t="shared" si="1"/>
        <v>0.14625850340136054</v>
      </c>
    </row>
    <row r="23" spans="2:21">
      <c r="B23" s="201">
        <v>18</v>
      </c>
      <c r="C23" s="191" t="s">
        <v>404</v>
      </c>
      <c r="D23" s="192">
        <v>18</v>
      </c>
      <c r="E23" s="186" t="s">
        <v>113</v>
      </c>
      <c r="F23" s="213" t="s">
        <v>405</v>
      </c>
      <c r="G23" s="397" t="s">
        <v>101</v>
      </c>
      <c r="H23" s="180" t="str">
        <f>VLOOKUP(E23,WD!$C$6:$K$73,3,0)</f>
        <v>Yumika</v>
      </c>
      <c r="I23" s="196" t="s">
        <v>405</v>
      </c>
      <c r="J23" s="180" t="str">
        <f>VLOOKUP(G23,WD!$C$6:$K$73,3,0)</f>
        <v>YhtNyi</v>
      </c>
      <c r="K23" s="197">
        <v>0</v>
      </c>
      <c r="L23" s="180">
        <v>0</v>
      </c>
      <c r="M23" s="180">
        <v>42</v>
      </c>
      <c r="N23" s="180">
        <v>2</v>
      </c>
      <c r="O23" s="198" t="s">
        <v>723</v>
      </c>
    </row>
    <row r="24" spans="2:21">
      <c r="B24" s="190">
        <v>19</v>
      </c>
      <c r="C24" s="191" t="s">
        <v>404</v>
      </c>
      <c r="D24" s="192">
        <v>19</v>
      </c>
      <c r="E24" s="186" t="s">
        <v>71</v>
      </c>
      <c r="F24" s="213" t="s">
        <v>405</v>
      </c>
      <c r="G24" s="397" t="s">
        <v>83</v>
      </c>
      <c r="H24" s="180" t="str">
        <f>VLOOKUP(E24,WD!$C$6:$K$73,3,0)</f>
        <v>ST</v>
      </c>
      <c r="I24" s="196" t="s">
        <v>405</v>
      </c>
      <c r="J24" s="180" t="str">
        <f>VLOOKUP(G24,WD!$C$6:$K$73,3,0)</f>
        <v>羚靖</v>
      </c>
      <c r="K24" s="197">
        <v>1</v>
      </c>
      <c r="L24" s="180">
        <f>21+12</f>
        <v>33</v>
      </c>
      <c r="M24" s="180">
        <f>16+21</f>
        <v>37</v>
      </c>
      <c r="N24" s="180">
        <v>1</v>
      </c>
      <c r="O24" s="198" t="s">
        <v>738</v>
      </c>
    </row>
    <row r="25" spans="2:21">
      <c r="B25" s="201">
        <v>20</v>
      </c>
      <c r="C25" s="191" t="s">
        <v>404</v>
      </c>
      <c r="D25" s="192">
        <v>20</v>
      </c>
      <c r="E25" s="398" t="s">
        <v>89</v>
      </c>
      <c r="F25" s="217" t="s">
        <v>405</v>
      </c>
      <c r="G25" s="399" t="s">
        <v>77</v>
      </c>
      <c r="H25" s="180" t="str">
        <f>VLOOKUP(E25,WD!$C$6:$K$73,3,0)</f>
        <v>Men</v>
      </c>
      <c r="I25" s="196" t="s">
        <v>405</v>
      </c>
      <c r="J25" s="180" t="str">
        <f>VLOOKUP(G25,WD!$C$6:$K$73,3,0)</f>
        <v>荃青—AYY</v>
      </c>
      <c r="K25" s="197">
        <v>0</v>
      </c>
      <c r="L25" s="180">
        <f>18+22</f>
        <v>40</v>
      </c>
      <c r="M25" s="180">
        <f>21+24</f>
        <v>45</v>
      </c>
      <c r="N25" s="180">
        <v>2</v>
      </c>
      <c r="O25" s="198" t="s">
        <v>739</v>
      </c>
    </row>
    <row r="26" spans="2:21">
      <c r="B26" s="190">
        <v>21</v>
      </c>
      <c r="C26" s="191" t="s">
        <v>404</v>
      </c>
      <c r="D26" s="192">
        <v>21</v>
      </c>
      <c r="E26" s="186" t="s">
        <v>95</v>
      </c>
      <c r="F26" s="213" t="s">
        <v>405</v>
      </c>
      <c r="G26" s="397" t="s">
        <v>101</v>
      </c>
      <c r="H26" s="180" t="str">
        <f>VLOOKUP(E26,WD!$C$6:$K$73,3,0)</f>
        <v xml:space="preserve">Acti tape </v>
      </c>
      <c r="I26" s="196" t="s">
        <v>405</v>
      </c>
      <c r="J26" s="180" t="str">
        <f>VLOOKUP(G26,WD!$C$6:$K$73,3,0)</f>
        <v>YhtNyi</v>
      </c>
      <c r="K26" s="197">
        <v>1</v>
      </c>
      <c r="L26" s="180">
        <f>16+21</f>
        <v>37</v>
      </c>
      <c r="M26" s="180">
        <f>21+18</f>
        <v>39</v>
      </c>
      <c r="N26" s="180">
        <v>1</v>
      </c>
      <c r="O26" s="198" t="s">
        <v>740</v>
      </c>
    </row>
    <row r="27" spans="2:21">
      <c r="B27" s="201">
        <v>22</v>
      </c>
      <c r="C27" s="191" t="s">
        <v>404</v>
      </c>
      <c r="D27" s="192">
        <v>22</v>
      </c>
      <c r="E27" s="186" t="s">
        <v>113</v>
      </c>
      <c r="F27" s="213" t="s">
        <v>405</v>
      </c>
      <c r="G27" s="397" t="s">
        <v>107</v>
      </c>
      <c r="H27" s="180" t="str">
        <f>VLOOKUP(E27,WD!$C$6:$K$73,3,0)</f>
        <v>Yumika</v>
      </c>
      <c r="I27" s="196" t="s">
        <v>405</v>
      </c>
      <c r="J27" s="180" t="str">
        <f>VLOOKUP(G27,WD!$C$6:$K$73,3,0)</f>
        <v>SURVIVOR</v>
      </c>
      <c r="K27" s="197">
        <v>0</v>
      </c>
      <c r="L27" s="180">
        <v>0</v>
      </c>
      <c r="M27" s="180">
        <v>42</v>
      </c>
      <c r="N27" s="180">
        <v>2</v>
      </c>
      <c r="O27" s="198" t="s">
        <v>723</v>
      </c>
    </row>
    <row r="28" spans="2:21">
      <c r="B28" s="190">
        <v>23</v>
      </c>
      <c r="C28" s="191" t="s">
        <v>404</v>
      </c>
      <c r="D28" s="192">
        <v>23</v>
      </c>
      <c r="E28" s="186" t="s">
        <v>77</v>
      </c>
      <c r="F28" s="213" t="s">
        <v>405</v>
      </c>
      <c r="G28" s="397" t="s">
        <v>83</v>
      </c>
      <c r="H28" s="180" t="str">
        <f>VLOOKUP(E28,WD!$C$6:$K$73,3,0)</f>
        <v>荃青—AYY</v>
      </c>
      <c r="I28" s="196" t="s">
        <v>405</v>
      </c>
      <c r="J28" s="180" t="str">
        <f>VLOOKUP(G28,WD!$C$6:$K$73,3,0)</f>
        <v>羚靖</v>
      </c>
      <c r="K28" s="197">
        <v>1</v>
      </c>
      <c r="L28" s="180">
        <f>17+21</f>
        <v>38</v>
      </c>
      <c r="M28" s="180">
        <f>21+19</f>
        <v>40</v>
      </c>
      <c r="N28" s="180">
        <v>1</v>
      </c>
      <c r="O28" s="198" t="s">
        <v>741</v>
      </c>
    </row>
    <row r="29" spans="2:21">
      <c r="B29" s="201">
        <v>24</v>
      </c>
      <c r="C29" s="191" t="s">
        <v>404</v>
      </c>
      <c r="D29" s="192">
        <v>24</v>
      </c>
      <c r="E29" s="398" t="s">
        <v>71</v>
      </c>
      <c r="F29" s="217" t="s">
        <v>405</v>
      </c>
      <c r="G29" s="399" t="s">
        <v>89</v>
      </c>
      <c r="H29" s="180" t="str">
        <f>VLOOKUP(E29,WD!$C$6:$K$73,3,0)</f>
        <v>ST</v>
      </c>
      <c r="I29" s="196" t="s">
        <v>405</v>
      </c>
      <c r="J29" s="180" t="str">
        <f>VLOOKUP(G29,WD!$C$6:$K$73,3,0)</f>
        <v>Men</v>
      </c>
      <c r="K29" s="197">
        <v>1</v>
      </c>
      <c r="L29" s="180">
        <f>21+17</f>
        <v>38</v>
      </c>
      <c r="M29" s="180">
        <f>12+21</f>
        <v>33</v>
      </c>
      <c r="N29" s="180">
        <v>1</v>
      </c>
      <c r="O29" s="198" t="s">
        <v>742</v>
      </c>
    </row>
    <row r="30" spans="2:21">
      <c r="B30" s="190">
        <v>25</v>
      </c>
      <c r="C30" s="191" t="s">
        <v>404</v>
      </c>
      <c r="D30" s="192">
        <v>25</v>
      </c>
      <c r="E30" s="186" t="s">
        <v>89</v>
      </c>
      <c r="F30" s="213" t="s">
        <v>405</v>
      </c>
      <c r="G30" s="397" t="s">
        <v>113</v>
      </c>
      <c r="H30" s="180" t="str">
        <f>VLOOKUP(E30,WD!$C$6:$K$73,3,0)</f>
        <v>Men</v>
      </c>
      <c r="I30" s="196" t="s">
        <v>405</v>
      </c>
      <c r="J30" s="180" t="str">
        <f>VLOOKUP(G30,WD!$C$6:$K$73,3,0)</f>
        <v>Yumika</v>
      </c>
      <c r="K30" s="197">
        <v>2</v>
      </c>
      <c r="L30" s="180">
        <v>42</v>
      </c>
      <c r="M30" s="180">
        <v>0</v>
      </c>
      <c r="N30" s="180">
        <v>0</v>
      </c>
      <c r="O30" s="198" t="s">
        <v>723</v>
      </c>
    </row>
    <row r="31" spans="2:21">
      <c r="B31" s="201">
        <v>26</v>
      </c>
      <c r="C31" s="191" t="s">
        <v>404</v>
      </c>
      <c r="D31" s="192">
        <v>26</v>
      </c>
      <c r="E31" s="186" t="s">
        <v>101</v>
      </c>
      <c r="F31" s="213" t="s">
        <v>405</v>
      </c>
      <c r="G31" s="397" t="s">
        <v>77</v>
      </c>
      <c r="H31" s="180" t="str">
        <f>VLOOKUP(E31,WD!$C$6:$K$73,3,0)</f>
        <v>YhtNyi</v>
      </c>
      <c r="I31" s="196" t="s">
        <v>405</v>
      </c>
      <c r="J31" s="180" t="str">
        <f>VLOOKUP(G31,WD!$C$6:$K$73,3,0)</f>
        <v>荃青—AYY</v>
      </c>
      <c r="K31" s="197">
        <v>0</v>
      </c>
      <c r="L31" s="180">
        <f>9+13</f>
        <v>22</v>
      </c>
      <c r="M31" s="180">
        <f>21+21</f>
        <v>42</v>
      </c>
      <c r="N31" s="180">
        <v>2</v>
      </c>
      <c r="O31" s="198" t="s">
        <v>743</v>
      </c>
    </row>
    <row r="32" spans="2:21">
      <c r="B32" s="190">
        <v>27</v>
      </c>
      <c r="C32" s="191" t="s">
        <v>404</v>
      </c>
      <c r="D32" s="192">
        <v>27</v>
      </c>
      <c r="E32" s="186" t="s">
        <v>107</v>
      </c>
      <c r="F32" s="213" t="s">
        <v>405</v>
      </c>
      <c r="G32" s="397" t="s">
        <v>71</v>
      </c>
      <c r="H32" s="180" t="str">
        <f>VLOOKUP(E32,WD!$C$6:$K$73,3,0)</f>
        <v>SURVIVOR</v>
      </c>
      <c r="I32" s="196" t="s">
        <v>405</v>
      </c>
      <c r="J32" s="180" t="str">
        <f>VLOOKUP(G32,WD!$C$6:$K$73,3,0)</f>
        <v>ST</v>
      </c>
      <c r="K32" s="197">
        <v>0</v>
      </c>
      <c r="L32" s="180">
        <f>5+11</f>
        <v>16</v>
      </c>
      <c r="M32" s="180">
        <f>21+21</f>
        <v>42</v>
      </c>
      <c r="N32" s="180">
        <v>2</v>
      </c>
      <c r="O32" s="198" t="s">
        <v>744</v>
      </c>
    </row>
    <row r="33" spans="2:15">
      <c r="B33" s="201">
        <v>28</v>
      </c>
      <c r="C33" s="208" t="s">
        <v>404</v>
      </c>
      <c r="D33" s="209">
        <v>28</v>
      </c>
      <c r="E33" s="398" t="s">
        <v>95</v>
      </c>
      <c r="F33" s="217" t="s">
        <v>405</v>
      </c>
      <c r="G33" s="399" t="s">
        <v>83</v>
      </c>
      <c r="H33" s="180" t="str">
        <f>VLOOKUP(E33,WD!$C$6:$K$73,3,0)</f>
        <v xml:space="preserve">Acti tape </v>
      </c>
      <c r="I33" s="196" t="s">
        <v>405</v>
      </c>
      <c r="J33" s="180" t="str">
        <f>VLOOKUP(G33,WD!$C$6:$K$73,3,0)</f>
        <v>羚靖</v>
      </c>
      <c r="K33" s="197">
        <v>1</v>
      </c>
      <c r="L33" s="180">
        <f>17+21</f>
        <v>38</v>
      </c>
      <c r="M33" s="180">
        <f>21+13</f>
        <v>34</v>
      </c>
      <c r="N33" s="180">
        <v>1</v>
      </c>
      <c r="O33" s="198" t="s">
        <v>745</v>
      </c>
    </row>
    <row r="34" spans="2:15" hidden="1">
      <c r="B34" s="190">
        <v>29</v>
      </c>
      <c r="C34" s="210" t="s">
        <v>438</v>
      </c>
      <c r="D34" s="211">
        <v>5</v>
      </c>
      <c r="E34" s="212" t="s">
        <v>239</v>
      </c>
      <c r="F34" s="213" t="s">
        <v>405</v>
      </c>
      <c r="G34" s="214" t="s">
        <v>304</v>
      </c>
      <c r="H34" s="174" t="str">
        <f>VLOOKUP(E34,MD!$C$6:$K$54,3,0)</f>
        <v>爸爸隊</v>
      </c>
      <c r="I34" s="181" t="s">
        <v>405</v>
      </c>
      <c r="J34" s="174" t="str">
        <f>VLOOKUP(G34,MD!$C$6:$K$54,3,0)</f>
        <v xml:space="preserve">Alison volleyball </v>
      </c>
      <c r="K34" s="180"/>
      <c r="L34" s="180"/>
      <c r="M34" s="180"/>
      <c r="N34" s="180"/>
      <c r="O34" s="198"/>
    </row>
    <row r="35" spans="2:15" hidden="1">
      <c r="B35" s="201">
        <v>30</v>
      </c>
      <c r="C35" s="210" t="s">
        <v>438</v>
      </c>
      <c r="D35" s="215">
        <v>6</v>
      </c>
      <c r="E35" s="216" t="s">
        <v>143</v>
      </c>
      <c r="F35" s="217" t="s">
        <v>405</v>
      </c>
      <c r="G35" s="218" t="s">
        <v>185</v>
      </c>
      <c r="H35" s="219" t="str">
        <f>VLOOKUP(E35,MD!$C$6:$K$54,3,0)</f>
        <v>SKTL</v>
      </c>
      <c r="I35" s="219" t="s">
        <v>405</v>
      </c>
      <c r="J35" s="219" t="str">
        <f>VLOOKUP(G35,MD!$C$6:$K$54,3,0)</f>
        <v>夢幻組合</v>
      </c>
      <c r="K35" s="180"/>
      <c r="L35" s="180"/>
      <c r="M35" s="180"/>
      <c r="N35" s="180"/>
      <c r="O35" s="198"/>
    </row>
    <row r="36" spans="2:15" hidden="1">
      <c r="B36" s="190">
        <v>31</v>
      </c>
      <c r="C36" s="220" t="s">
        <v>439</v>
      </c>
      <c r="D36" s="211">
        <v>1</v>
      </c>
      <c r="E36" s="221" t="s">
        <v>149</v>
      </c>
      <c r="F36" s="222" t="s">
        <v>405</v>
      </c>
      <c r="G36" s="223" t="s">
        <v>269</v>
      </c>
      <c r="H36" s="219" t="str">
        <f>VLOOKUP(E36,MD!$C$6:$K$54,3,0)</f>
        <v>SCAA YA</v>
      </c>
      <c r="I36" s="219" t="s">
        <v>405</v>
      </c>
      <c r="J36" s="219" t="str">
        <f>VLOOKUP(G36,MD!$C$6:$K$54,3,0)</f>
        <v>SCAA 99</v>
      </c>
      <c r="K36" s="180"/>
      <c r="L36" s="180"/>
      <c r="M36" s="180"/>
      <c r="N36" s="180"/>
      <c r="O36" s="198"/>
    </row>
    <row r="37" spans="2:15" hidden="1">
      <c r="B37" s="201">
        <v>32</v>
      </c>
      <c r="C37" s="210" t="s">
        <v>439</v>
      </c>
      <c r="D37" s="211">
        <v>2</v>
      </c>
      <c r="E37" s="212" t="s">
        <v>179</v>
      </c>
      <c r="F37" s="213" t="s">
        <v>405</v>
      </c>
      <c r="G37" s="214" t="s">
        <v>244</v>
      </c>
      <c r="H37" s="219" t="str">
        <f>VLOOKUP(E37,MD!$C$6:$K$54,3,0)</f>
        <v>撈碧鵰</v>
      </c>
      <c r="I37" s="219" t="s">
        <v>405</v>
      </c>
      <c r="J37" s="219">
        <f>VLOOKUP(G37,MD!$C$6:$K$54,3,0)</f>
        <v>1987.5</v>
      </c>
      <c r="K37" s="180"/>
      <c r="L37" s="180"/>
      <c r="M37" s="180"/>
      <c r="N37" s="180"/>
      <c r="O37" s="198"/>
    </row>
    <row r="38" spans="2:15" hidden="1">
      <c r="B38" s="190">
        <v>33</v>
      </c>
      <c r="C38" s="210" t="s">
        <v>439</v>
      </c>
      <c r="D38" s="211">
        <v>3</v>
      </c>
      <c r="E38" s="212" t="s">
        <v>149</v>
      </c>
      <c r="F38" s="213" t="s">
        <v>405</v>
      </c>
      <c r="G38" s="214" t="s">
        <v>244</v>
      </c>
      <c r="H38" s="219" t="str">
        <f>VLOOKUP(E38,MD!$C$6:$K$54,3,0)</f>
        <v>SCAA YA</v>
      </c>
      <c r="I38" s="219" t="s">
        <v>405</v>
      </c>
      <c r="J38" s="219">
        <f>VLOOKUP(G38,MD!$C$6:$K$54,3,0)</f>
        <v>1987.5</v>
      </c>
      <c r="K38" s="180"/>
      <c r="L38" s="180"/>
      <c r="M38" s="180"/>
      <c r="N38" s="180"/>
      <c r="O38" s="198"/>
    </row>
    <row r="39" spans="2:15" hidden="1">
      <c r="B39" s="201">
        <v>34</v>
      </c>
      <c r="C39" s="210" t="s">
        <v>439</v>
      </c>
      <c r="D39" s="211">
        <v>4</v>
      </c>
      <c r="E39" s="212" t="s">
        <v>179</v>
      </c>
      <c r="F39" s="213" t="s">
        <v>405</v>
      </c>
      <c r="G39" s="214" t="s">
        <v>269</v>
      </c>
      <c r="H39" s="219" t="str">
        <f>VLOOKUP(E39,MD!$C$6:$K$54,3,0)</f>
        <v>撈碧鵰</v>
      </c>
      <c r="I39" s="219" t="s">
        <v>405</v>
      </c>
      <c r="J39" s="219" t="str">
        <f>VLOOKUP(G39,MD!$C$6:$K$54,3,0)</f>
        <v>SCAA 99</v>
      </c>
      <c r="K39" s="180"/>
      <c r="L39" s="180"/>
      <c r="M39" s="180"/>
      <c r="N39" s="180"/>
      <c r="O39" s="198"/>
    </row>
    <row r="40" spans="2:15" hidden="1">
      <c r="B40" s="190">
        <v>35</v>
      </c>
      <c r="C40" s="210" t="s">
        <v>439</v>
      </c>
      <c r="D40" s="211">
        <v>5</v>
      </c>
      <c r="E40" s="212" t="s">
        <v>244</v>
      </c>
      <c r="F40" s="213" t="s">
        <v>405</v>
      </c>
      <c r="G40" s="214" t="s">
        <v>269</v>
      </c>
      <c r="H40" s="219">
        <f>VLOOKUP(E40,MD!$C$6:$K$54,3,0)</f>
        <v>1987.5</v>
      </c>
      <c r="I40" s="219" t="s">
        <v>405</v>
      </c>
      <c r="J40" s="219" t="str">
        <f>VLOOKUP(G40,MD!$C$6:$K$54,3,0)</f>
        <v>SCAA 99</v>
      </c>
      <c r="K40" s="180"/>
      <c r="L40" s="180"/>
      <c r="M40" s="180"/>
      <c r="N40" s="180"/>
      <c r="O40" s="198"/>
    </row>
    <row r="41" spans="2:15" hidden="1">
      <c r="B41" s="201">
        <v>36</v>
      </c>
      <c r="C41" s="224" t="s">
        <v>439</v>
      </c>
      <c r="D41" s="215">
        <v>6</v>
      </c>
      <c r="E41" s="216" t="s">
        <v>149</v>
      </c>
      <c r="F41" s="217" t="s">
        <v>405</v>
      </c>
      <c r="G41" s="218" t="s">
        <v>179</v>
      </c>
      <c r="H41" s="219" t="str">
        <f>VLOOKUP(E41,MD!$C$6:$K$54,3,0)</f>
        <v>SCAA YA</v>
      </c>
      <c r="I41" s="219" t="s">
        <v>405</v>
      </c>
      <c r="J41" s="219" t="str">
        <f>VLOOKUP(G41,MD!$C$6:$K$54,3,0)</f>
        <v>撈碧鵰</v>
      </c>
      <c r="K41" s="180"/>
      <c r="L41" s="180"/>
      <c r="M41" s="180"/>
      <c r="N41" s="180"/>
      <c r="O41" s="198"/>
    </row>
    <row r="42" spans="2:15" hidden="1">
      <c r="B42" s="190">
        <v>37</v>
      </c>
      <c r="C42" s="225" t="s">
        <v>440</v>
      </c>
      <c r="D42" s="211">
        <v>1</v>
      </c>
      <c r="E42" s="221" t="s">
        <v>155</v>
      </c>
      <c r="F42" s="222" t="s">
        <v>405</v>
      </c>
      <c r="G42" s="223" t="s">
        <v>286</v>
      </c>
      <c r="H42" s="219" t="str">
        <f>VLOOKUP(E42,MD!$C$6:$K$54,3,0)</f>
        <v>Zlatan</v>
      </c>
      <c r="I42" s="219" t="s">
        <v>405</v>
      </c>
      <c r="J42" s="219" t="str">
        <f>VLOOKUP(G42,MD!$C$6:$K$54,3,0)</f>
        <v>SCAA x CSUN</v>
      </c>
      <c r="K42" s="180"/>
      <c r="L42" s="180"/>
      <c r="M42" s="180"/>
      <c r="N42" s="180"/>
      <c r="O42" s="198"/>
    </row>
    <row r="43" spans="2:15" hidden="1">
      <c r="B43" s="201">
        <v>38</v>
      </c>
      <c r="C43" s="225" t="s">
        <v>440</v>
      </c>
      <c r="D43" s="211">
        <v>2</v>
      </c>
      <c r="E43" s="212" t="s">
        <v>173</v>
      </c>
      <c r="F43" s="213" t="s">
        <v>405</v>
      </c>
      <c r="G43" s="214" t="s">
        <v>250</v>
      </c>
      <c r="H43" s="219" t="str">
        <f>VLOOKUP(E43,MD!$C$6:$K$54,3,0)</f>
        <v>紅藍</v>
      </c>
      <c r="I43" s="219" t="s">
        <v>405</v>
      </c>
      <c r="J43" s="219" t="str">
        <f>VLOOKUP(G43,MD!$C$6:$K$54,3,0)</f>
        <v>企拍</v>
      </c>
      <c r="K43" s="180"/>
      <c r="L43" s="180"/>
      <c r="M43" s="180"/>
      <c r="N43" s="180"/>
      <c r="O43" s="198"/>
    </row>
    <row r="44" spans="2:15" hidden="1">
      <c r="B44" s="190">
        <v>39</v>
      </c>
      <c r="C44" s="225" t="s">
        <v>440</v>
      </c>
      <c r="D44" s="211">
        <v>3</v>
      </c>
      <c r="E44" s="212" t="s">
        <v>155</v>
      </c>
      <c r="F44" s="213" t="s">
        <v>405</v>
      </c>
      <c r="G44" s="214" t="s">
        <v>250</v>
      </c>
      <c r="H44" s="219" t="str">
        <f>VLOOKUP(E44,MD!$C$6:$K$54,3,0)</f>
        <v>Zlatan</v>
      </c>
      <c r="I44" s="219" t="s">
        <v>405</v>
      </c>
      <c r="J44" s="219" t="str">
        <f>VLOOKUP(G44,MD!$C$6:$K$54,3,0)</f>
        <v>企拍</v>
      </c>
      <c r="K44" s="180"/>
      <c r="L44" s="180"/>
      <c r="M44" s="180"/>
      <c r="N44" s="180"/>
      <c r="O44" s="198"/>
    </row>
    <row r="45" spans="2:15" hidden="1">
      <c r="B45" s="201">
        <v>40</v>
      </c>
      <c r="C45" s="225" t="s">
        <v>440</v>
      </c>
      <c r="D45" s="211">
        <v>4</v>
      </c>
      <c r="E45" s="212" t="s">
        <v>173</v>
      </c>
      <c r="F45" s="213" t="s">
        <v>405</v>
      </c>
      <c r="G45" s="214" t="s">
        <v>286</v>
      </c>
      <c r="H45" s="219" t="str">
        <f>VLOOKUP(E45,MD!$C$6:$K$54,3,0)</f>
        <v>紅藍</v>
      </c>
      <c r="I45" s="219" t="s">
        <v>405</v>
      </c>
      <c r="J45" s="219" t="str">
        <f>VLOOKUP(G45,MD!$C$6:$K$54,3,0)</f>
        <v>SCAA x CSUN</v>
      </c>
      <c r="K45" s="180"/>
      <c r="L45" s="180"/>
      <c r="M45" s="180"/>
      <c r="N45" s="180"/>
      <c r="O45" s="198"/>
    </row>
    <row r="46" spans="2:15" hidden="1">
      <c r="B46" s="190">
        <v>41</v>
      </c>
      <c r="C46" s="225" t="s">
        <v>440</v>
      </c>
      <c r="D46" s="211">
        <v>5</v>
      </c>
      <c r="E46" s="212" t="s">
        <v>250</v>
      </c>
      <c r="F46" s="213" t="s">
        <v>405</v>
      </c>
      <c r="G46" s="214" t="s">
        <v>286</v>
      </c>
      <c r="H46" s="219" t="str">
        <f>VLOOKUP(E46,MD!$C$6:$K$54,3,0)</f>
        <v>企拍</v>
      </c>
      <c r="I46" s="219" t="s">
        <v>405</v>
      </c>
      <c r="J46" s="219" t="str">
        <f>VLOOKUP(G46,MD!$C$6:$K$54,3,0)</f>
        <v>SCAA x CSUN</v>
      </c>
      <c r="K46" s="180"/>
      <c r="L46" s="180"/>
      <c r="M46" s="180"/>
      <c r="N46" s="180"/>
      <c r="O46" s="198"/>
    </row>
    <row r="47" spans="2:15" hidden="1">
      <c r="B47" s="201">
        <v>42</v>
      </c>
      <c r="C47" s="224" t="s">
        <v>440</v>
      </c>
      <c r="D47" s="215">
        <v>6</v>
      </c>
      <c r="E47" s="216" t="s">
        <v>155</v>
      </c>
      <c r="F47" s="217" t="s">
        <v>405</v>
      </c>
      <c r="G47" s="218" t="s">
        <v>173</v>
      </c>
      <c r="H47" s="219" t="str">
        <f>VLOOKUP(E47,MD!$C$6:$K$54,3,0)</f>
        <v>Zlatan</v>
      </c>
      <c r="I47" s="219" t="s">
        <v>405</v>
      </c>
      <c r="J47" s="219" t="str">
        <f>VLOOKUP(G47,MD!$C$6:$K$54,3,0)</f>
        <v>紅藍</v>
      </c>
      <c r="K47" s="180"/>
      <c r="L47" s="180"/>
      <c r="M47" s="180"/>
      <c r="N47" s="180"/>
      <c r="O47" s="198"/>
    </row>
    <row r="48" spans="2:15" hidden="1">
      <c r="B48" s="190">
        <v>43</v>
      </c>
      <c r="C48" s="225" t="s">
        <v>441</v>
      </c>
      <c r="D48" s="211">
        <v>1</v>
      </c>
      <c r="E48" s="212" t="s">
        <v>161</v>
      </c>
      <c r="F48" s="213" t="s">
        <v>405</v>
      </c>
      <c r="G48" s="214" t="s">
        <v>262</v>
      </c>
      <c r="H48" s="219" t="str">
        <f>VLOOKUP(E48,MD!$C$6:$K$54,3,0)</f>
        <v>ALPS_我要買GTR</v>
      </c>
      <c r="I48" s="219" t="s">
        <v>405</v>
      </c>
      <c r="J48" s="219" t="str">
        <f>VLOOKUP(G48,MD!$C$6:$K$54,3,0)</f>
        <v>ALPS - 平均米九</v>
      </c>
      <c r="K48" s="180"/>
      <c r="L48" s="180"/>
      <c r="M48" s="180"/>
      <c r="N48" s="180"/>
      <c r="O48" s="198"/>
    </row>
    <row r="49" spans="2:15" hidden="1">
      <c r="B49" s="201">
        <v>44</v>
      </c>
      <c r="C49" s="225" t="s">
        <v>441</v>
      </c>
      <c r="D49" s="211">
        <v>2</v>
      </c>
      <c r="E49" s="212" t="s">
        <v>167</v>
      </c>
      <c r="F49" s="213" t="s">
        <v>405</v>
      </c>
      <c r="G49" s="214" t="s">
        <v>256</v>
      </c>
      <c r="H49" s="219" t="str">
        <f>VLOOKUP(E49,MD!$C$6:$K$54,3,0)</f>
        <v>FS</v>
      </c>
      <c r="I49" s="219" t="s">
        <v>405</v>
      </c>
      <c r="J49" s="219" t="str">
        <f>VLOOKUP(G49,MD!$C$6:$K$54,3,0)</f>
        <v>LSC</v>
      </c>
      <c r="K49" s="180"/>
      <c r="L49" s="180"/>
      <c r="M49" s="180"/>
      <c r="N49" s="180"/>
      <c r="O49" s="198"/>
    </row>
    <row r="50" spans="2:15" hidden="1">
      <c r="B50" s="190">
        <v>45</v>
      </c>
      <c r="C50" s="225" t="s">
        <v>441</v>
      </c>
      <c r="D50" s="211">
        <v>3</v>
      </c>
      <c r="E50" s="212" t="s">
        <v>161</v>
      </c>
      <c r="F50" s="213" t="s">
        <v>405</v>
      </c>
      <c r="G50" s="214" t="s">
        <v>256</v>
      </c>
      <c r="H50" s="219" t="str">
        <f>VLOOKUP(E50,MD!$C$6:$K$54,3,0)</f>
        <v>ALPS_我要買GTR</v>
      </c>
      <c r="I50" s="219" t="s">
        <v>405</v>
      </c>
      <c r="J50" s="219" t="str">
        <f>VLOOKUP(G50,MD!$C$6:$K$54,3,0)</f>
        <v>LSC</v>
      </c>
      <c r="K50" s="180"/>
      <c r="L50" s="180"/>
      <c r="M50" s="180"/>
      <c r="N50" s="180"/>
      <c r="O50" s="198"/>
    </row>
    <row r="51" spans="2:15" hidden="1">
      <c r="B51" s="201">
        <v>46</v>
      </c>
      <c r="C51" s="225" t="s">
        <v>441</v>
      </c>
      <c r="D51" s="211">
        <v>4</v>
      </c>
      <c r="E51" s="212" t="s">
        <v>167</v>
      </c>
      <c r="F51" s="213" t="s">
        <v>405</v>
      </c>
      <c r="G51" s="214" t="s">
        <v>262</v>
      </c>
      <c r="H51" s="219" t="str">
        <f>VLOOKUP(E51,MD!$C$6:$K$54,3,0)</f>
        <v>FS</v>
      </c>
      <c r="I51" s="219" t="s">
        <v>405</v>
      </c>
      <c r="J51" s="219" t="str">
        <f>VLOOKUP(G51,MD!$C$6:$K$54,3,0)</f>
        <v>ALPS - 平均米九</v>
      </c>
      <c r="K51" s="180"/>
      <c r="L51" s="180"/>
      <c r="M51" s="180"/>
      <c r="N51" s="180"/>
      <c r="O51" s="198"/>
    </row>
    <row r="52" spans="2:15" hidden="1">
      <c r="B52" s="190">
        <v>47</v>
      </c>
      <c r="C52" s="225" t="s">
        <v>441</v>
      </c>
      <c r="D52" s="211">
        <v>5</v>
      </c>
      <c r="E52" s="212" t="s">
        <v>256</v>
      </c>
      <c r="F52" s="213" t="s">
        <v>405</v>
      </c>
      <c r="G52" s="214" t="s">
        <v>262</v>
      </c>
      <c r="H52" s="219" t="str">
        <f>VLOOKUP(E52,MD!$C$6:$K$54,3,0)</f>
        <v>LSC</v>
      </c>
      <c r="I52" s="219" t="s">
        <v>405</v>
      </c>
      <c r="J52" s="219" t="str">
        <f>VLOOKUP(G52,MD!$C$6:$K$54,3,0)</f>
        <v>ALPS - 平均米九</v>
      </c>
      <c r="K52" s="180"/>
      <c r="L52" s="180"/>
      <c r="M52" s="180"/>
      <c r="N52" s="180"/>
      <c r="O52" s="198"/>
    </row>
    <row r="53" spans="2:15" hidden="1">
      <c r="B53" s="201">
        <v>48</v>
      </c>
      <c r="C53" s="226" t="s">
        <v>441</v>
      </c>
      <c r="D53" s="215">
        <v>6</v>
      </c>
      <c r="E53" s="216" t="s">
        <v>161</v>
      </c>
      <c r="F53" s="217" t="s">
        <v>405</v>
      </c>
      <c r="G53" s="218" t="s">
        <v>167</v>
      </c>
      <c r="H53" s="219" t="str">
        <f>VLOOKUP(E53,MD!$C$6:$K$54,3,0)</f>
        <v>ALPS_我要買GTR</v>
      </c>
      <c r="I53" s="227" t="s">
        <v>405</v>
      </c>
      <c r="J53" s="219" t="str">
        <f>VLOOKUP(G53,MD!$C$6:$K$54,3,0)</f>
        <v>FS</v>
      </c>
      <c r="K53" s="180"/>
      <c r="L53" s="180"/>
      <c r="M53" s="180"/>
      <c r="N53" s="180"/>
      <c r="O53" s="198"/>
    </row>
    <row r="54" spans="2:15" hidden="1">
      <c r="B54" s="228"/>
      <c r="C54" s="228"/>
      <c r="D54" s="228"/>
      <c r="E54" s="228"/>
      <c r="F54" s="228"/>
      <c r="G54" s="228"/>
      <c r="H54" s="174" t="e">
        <f>VLOOKUP(E54,#REF!,3,0)</f>
        <v>#REF!</v>
      </c>
      <c r="O54" s="198"/>
    </row>
    <row r="55" spans="2:15">
      <c r="L55" s="400" t="s">
        <v>746</v>
      </c>
      <c r="O55" s="198"/>
    </row>
    <row r="56" spans="2:15">
      <c r="O56" s="198"/>
    </row>
    <row r="57" spans="2:15">
      <c r="O57" s="198"/>
    </row>
    <row r="58" spans="2:15">
      <c r="O58" s="198"/>
    </row>
    <row r="59" spans="2:15">
      <c r="O59" s="198"/>
    </row>
    <row r="60" spans="2:15">
      <c r="O60" s="198"/>
    </row>
    <row r="61" spans="2:15">
      <c r="O61" s="198"/>
    </row>
    <row r="62" spans="2:15">
      <c r="O62" s="198"/>
    </row>
    <row r="63" spans="2:15">
      <c r="O63" s="198"/>
    </row>
    <row r="64" spans="2:15">
      <c r="O64" s="198"/>
    </row>
    <row r="65" spans="15:15">
      <c r="O65" s="198"/>
    </row>
    <row r="66" spans="15:15">
      <c r="O66" s="198"/>
    </row>
    <row r="67" spans="15:15">
      <c r="O67" s="198"/>
    </row>
    <row r="68" spans="15:15">
      <c r="O68" s="198"/>
    </row>
    <row r="69" spans="15:15">
      <c r="O69" s="198"/>
    </row>
    <row r="70" spans="15:15">
      <c r="O70" s="198"/>
    </row>
    <row r="71" spans="15:15">
      <c r="O71" s="198"/>
    </row>
    <row r="72" spans="15:15">
      <c r="O72" s="198"/>
    </row>
    <row r="73" spans="15:15">
      <c r="O73" s="198"/>
    </row>
    <row r="74" spans="15:15">
      <c r="O74" s="198"/>
    </row>
    <row r="75" spans="15:15">
      <c r="O75" s="198"/>
    </row>
    <row r="76" spans="15:15">
      <c r="O76" s="198"/>
    </row>
    <row r="77" spans="15:15">
      <c r="O77" s="198"/>
    </row>
    <row r="78" spans="15:15">
      <c r="O78" s="198"/>
    </row>
    <row r="79" spans="15:15">
      <c r="O79" s="198"/>
    </row>
    <row r="80" spans="15:15">
      <c r="O80" s="198"/>
    </row>
    <row r="81" spans="15:15">
      <c r="O81" s="198"/>
    </row>
    <row r="82" spans="15:15">
      <c r="O82" s="198"/>
    </row>
    <row r="83" spans="15:15">
      <c r="O83" s="198"/>
    </row>
    <row r="84" spans="15:15">
      <c r="O84" s="198"/>
    </row>
    <row r="85" spans="15:15">
      <c r="O85" s="198"/>
    </row>
    <row r="86" spans="15:15">
      <c r="O86" s="198"/>
    </row>
    <row r="87" spans="15:15">
      <c r="O87" s="198"/>
    </row>
    <row r="88" spans="15:15">
      <c r="O88" s="198"/>
    </row>
    <row r="89" spans="15:15">
      <c r="O89" s="198"/>
    </row>
    <row r="90" spans="15:15">
      <c r="O90" s="198"/>
    </row>
    <row r="91" spans="15:15">
      <c r="O91" s="198"/>
    </row>
    <row r="92" spans="15:15">
      <c r="O92" s="198"/>
    </row>
    <row r="93" spans="15:15">
      <c r="O93" s="198"/>
    </row>
    <row r="94" spans="15:15">
      <c r="O94" s="198"/>
    </row>
    <row r="95" spans="15:15">
      <c r="O95" s="198"/>
    </row>
    <row r="96" spans="15:15">
      <c r="O96" s="198"/>
    </row>
    <row r="97" spans="15:15">
      <c r="O97" s="198"/>
    </row>
    <row r="98" spans="15:15">
      <c r="O98" s="198"/>
    </row>
    <row r="99" spans="15:15">
      <c r="O99" s="198"/>
    </row>
    <row r="100" spans="15:15">
      <c r="O100" s="198"/>
    </row>
    <row r="101" spans="15:15">
      <c r="O101" s="198"/>
    </row>
    <row r="102" spans="15:15">
      <c r="O102" s="198"/>
    </row>
    <row r="103" spans="15:15">
      <c r="O103" s="198"/>
    </row>
    <row r="104" spans="15:15">
      <c r="O104" s="198"/>
    </row>
    <row r="105" spans="15:15">
      <c r="O105" s="198"/>
    </row>
    <row r="106" spans="15:15">
      <c r="O106" s="198"/>
    </row>
    <row r="107" spans="15:15">
      <c r="O107" s="198"/>
    </row>
    <row r="108" spans="15:15">
      <c r="O108" s="198"/>
    </row>
    <row r="109" spans="15:15">
      <c r="O109" s="198"/>
    </row>
    <row r="110" spans="15:15">
      <c r="O110" s="198"/>
    </row>
    <row r="111" spans="15:15">
      <c r="O111" s="198"/>
    </row>
    <row r="112" spans="15:15">
      <c r="O112" s="198"/>
    </row>
    <row r="113" spans="15:15">
      <c r="O113" s="198"/>
    </row>
    <row r="114" spans="15:15">
      <c r="O114" s="198"/>
    </row>
    <row r="115" spans="15:15">
      <c r="O115" s="198"/>
    </row>
  </sheetData>
  <mergeCells count="1">
    <mergeCell ref="H3:J3"/>
  </mergeCells>
  <phoneticPr fontId="118" type="noConversion"/>
  <printOptions horizontalCentered="1" verticalCentered="1"/>
  <pageMargins left="0.74791666666666701" right="0.74791666666666701" top="0.52013888888888904" bottom="0.54027777777777797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14</vt:i4>
      </vt:variant>
    </vt:vector>
  </HeadingPairs>
  <TitlesOfParts>
    <vt:vector size="26" baseType="lpstr">
      <vt:lpstr>須知</vt:lpstr>
      <vt:lpstr>MD</vt:lpstr>
      <vt:lpstr>MAFormat</vt:lpstr>
      <vt:lpstr>男甲賽程</vt:lpstr>
      <vt:lpstr>MBFormat</vt:lpstr>
      <vt:lpstr>男乙賽程</vt:lpstr>
      <vt:lpstr>WD</vt:lpstr>
      <vt:lpstr>WAFormat</vt:lpstr>
      <vt:lpstr>女甲賽程</vt:lpstr>
      <vt:lpstr>WBFormat</vt:lpstr>
      <vt:lpstr>女乙賽程</vt:lpstr>
      <vt:lpstr>TT</vt:lpstr>
      <vt:lpstr>MD!_FilterDatabase</vt:lpstr>
      <vt:lpstr>WD!_FilterDatabase</vt:lpstr>
      <vt:lpstr>Excel_BuiltIn__FilterDatabase</vt:lpstr>
      <vt:lpstr>MAFormat!Print_Area</vt:lpstr>
      <vt:lpstr>MBFormat!Print_Area</vt:lpstr>
      <vt:lpstr>MD!Print_Area</vt:lpstr>
      <vt:lpstr>WAFormat!Print_Area</vt:lpstr>
      <vt:lpstr>WBFormat!Print_Area</vt:lpstr>
      <vt:lpstr>WD!Print_Area</vt:lpstr>
      <vt:lpstr>女乙賽程!Print_Area</vt:lpstr>
      <vt:lpstr>女甲賽程!Print_Area</vt:lpstr>
      <vt:lpstr>男乙賽程!Print_Area</vt:lpstr>
      <vt:lpstr>男甲賽程!Print_Area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Ronson</dc:creator>
  <dc:description/>
  <cp:lastModifiedBy>Ronson</cp:lastModifiedBy>
  <cp:revision>7</cp:revision>
  <cp:lastPrinted>2019-05-09T04:45:38Z</cp:lastPrinted>
  <dcterms:created xsi:type="dcterms:W3CDTF">2018-05-11T03:35:31Z</dcterms:created>
  <dcterms:modified xsi:type="dcterms:W3CDTF">2019-09-24T09:27:40Z</dcterms:modified>
  <dc:language>zh-HK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