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788" activeTab="6"/>
  </bookViews>
  <sheets>
    <sheet name="須知" sheetId="1" r:id="rId1"/>
    <sheet name="MD" sheetId="2" r:id="rId2"/>
    <sheet name="MAFormat" sheetId="3" r:id="rId3"/>
    <sheet name="男甲賽程" sheetId="4" r:id="rId4"/>
    <sheet name="MBFormat" sheetId="5" r:id="rId5"/>
    <sheet name="男乙賽程" sheetId="6" r:id="rId6"/>
    <sheet name="WD" sheetId="7" r:id="rId7"/>
    <sheet name="WAFormat" sheetId="8" r:id="rId8"/>
    <sheet name="女甲賽程" sheetId="9" r:id="rId9"/>
    <sheet name="WBFormat" sheetId="10" r:id="rId10"/>
    <sheet name="女乙賽程" sheetId="11" r:id="rId11"/>
    <sheet name="TT" sheetId="12" r:id="rId12"/>
  </sheets>
  <externalReferences>
    <externalReference r:id="rId15"/>
    <externalReference r:id="rId16"/>
  </externalReferences>
  <definedNames>
    <definedName name="Excel_BuiltIn__FilterDatabase" localSheetId="1">'MD'!$B$5:$R$5</definedName>
    <definedName name="Excel_BuiltIn__FilterDatabase" localSheetId="6">'WD'!$A$5:$U$5</definedName>
    <definedName name="_xlnm.Print_Area" localSheetId="2">'MAFormat'!$A$1:$H$46</definedName>
    <definedName name="_xlnm.Print_Area" localSheetId="4">'MBFormat'!$A$1:$M$112</definedName>
    <definedName name="_xlnm.Print_Area" localSheetId="1">'MD'!$A$1:$O$103</definedName>
    <definedName name="_xlnm.Print_Area" localSheetId="11">'TT'!$A$1:$P$140</definedName>
    <definedName name="_xlnm.Print_Area" localSheetId="7">'WAFormat'!$B$1:$G$47</definedName>
    <definedName name="_xlnm.Print_Area" localSheetId="9">'WBFormat'!$A$1:$K$80</definedName>
    <definedName name="_xlnm.Print_Area" localSheetId="6">'WD'!$A$1:$O$66</definedName>
    <definedName name="_xlnm.Print_Area" localSheetId="3">'男甲賽程'!$A$1:$U$55</definedName>
    <definedName name="_xlnm.Print_Area" localSheetId="0">'須知'!$A$1:$C$54</definedName>
  </definedNames>
  <calcPr fullCalcOnLoad="1"/>
</workbook>
</file>

<file path=xl/sharedStrings.xml><?xml version="1.0" encoding="utf-8"?>
<sst xmlns="http://schemas.openxmlformats.org/spreadsheetml/2006/main" count="2445" uniqueCount="926">
  <si>
    <r>
      <t>第</t>
    </r>
    <r>
      <rPr>
        <b/>
        <sz val="20"/>
        <rFont val="Calibri"/>
        <family val="2"/>
      </rPr>
      <t>22</t>
    </r>
    <r>
      <rPr>
        <b/>
        <sz val="20"/>
        <rFont val="Microsoft JhengHei"/>
        <family val="2"/>
      </rPr>
      <t>屆全港公開沙灘排球錦標賽</t>
    </r>
  </si>
  <si>
    <t>比賽須知</t>
  </si>
  <si>
    <t>報　　到</t>
  </si>
  <si>
    <r>
      <t>所有參賽隊伍須於規定時間前</t>
    </r>
    <r>
      <rPr>
        <sz val="11"/>
        <rFont val="Calibri"/>
        <family val="2"/>
      </rPr>
      <t>15</t>
    </r>
    <r>
      <rPr>
        <sz val="11"/>
        <rFont val="Microsoft JhengHei"/>
        <family val="2"/>
      </rPr>
      <t>分鐘，向司令台報到</t>
    </r>
    <r>
      <rPr>
        <sz val="11"/>
        <rFont val="Calibri"/>
        <family val="2"/>
      </rPr>
      <t>.</t>
    </r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</si>
  <si>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</si>
  <si>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</si>
  <si>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</si>
  <si>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</si>
  <si>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</si>
  <si>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r>
      <t>男子甲組網高</t>
    </r>
    <r>
      <rPr>
        <sz val="11"/>
        <rFont val="Calibri"/>
        <family val="2"/>
      </rPr>
      <t>2.43</t>
    </r>
    <r>
      <rPr>
        <sz val="11"/>
        <rFont val="Microsoft JhengHei"/>
        <family val="2"/>
      </rPr>
      <t>米，男子乙組網高</t>
    </r>
    <r>
      <rPr>
        <sz val="11"/>
        <rFont val="Calibri"/>
        <family val="2"/>
      </rPr>
      <t>2.35</t>
    </r>
    <r>
      <rPr>
        <sz val="11"/>
        <rFont val="Microsoft JhengHei"/>
        <family val="2"/>
      </rPr>
      <t>米，女子甲組網高</t>
    </r>
    <r>
      <rPr>
        <sz val="11"/>
        <rFont val="Calibri"/>
        <family val="2"/>
      </rPr>
      <t>2.24</t>
    </r>
    <r>
      <rPr>
        <sz val="11"/>
        <rFont val="Microsoft JhengHei"/>
        <family val="2"/>
      </rPr>
      <t>米，女子乙組網高</t>
    </r>
    <r>
      <rPr>
        <sz val="11"/>
        <rFont val="Calibri"/>
        <family val="2"/>
      </rPr>
      <t>2.20</t>
    </r>
    <r>
      <rPr>
        <sz val="11"/>
        <rFont val="Microsoft JhengHei"/>
        <family val="2"/>
      </rPr>
      <t>米</t>
    </r>
  </si>
  <si>
    <r>
      <t>球場：</t>
    </r>
    <r>
      <rPr>
        <sz val="11"/>
        <rFont val="Calibri"/>
        <family val="2"/>
      </rPr>
      <t>16</t>
    </r>
    <r>
      <rPr>
        <sz val="11"/>
        <rFont val="Microsoft JhengHei"/>
        <family val="2"/>
      </rPr>
      <t>米</t>
    </r>
    <r>
      <rPr>
        <sz val="11"/>
        <rFont val="Calibri"/>
        <family val="2"/>
      </rPr>
      <t>x 8</t>
    </r>
    <r>
      <rPr>
        <sz val="11"/>
        <rFont val="Microsoft JhengHei"/>
        <family val="2"/>
      </rPr>
      <t>米；半場</t>
    </r>
    <r>
      <rPr>
        <sz val="11"/>
        <rFont val="Calibri"/>
        <family val="2"/>
      </rPr>
      <t>8</t>
    </r>
    <r>
      <rPr>
        <sz val="11"/>
        <rFont val="Microsoft JhengHei"/>
        <family val="2"/>
      </rPr>
      <t>米</t>
    </r>
    <r>
      <rPr>
        <sz val="11"/>
        <rFont val="Calibri"/>
        <family val="2"/>
      </rPr>
      <t>x 8</t>
    </r>
    <r>
      <rPr>
        <sz val="11"/>
        <rFont val="Microsoft JhengHei"/>
        <family val="2"/>
      </rPr>
      <t>米</t>
    </r>
    <r>
      <rPr>
        <sz val="11"/>
        <rFont val="新細明體"/>
        <family val="1"/>
      </rPr>
      <t xml:space="preserve"> </t>
    </r>
  </si>
  <si>
    <r>
      <t>三局兩勝制，每球得分制，需至少領前兩分為勝</t>
    </r>
    <r>
      <rPr>
        <sz val="11"/>
        <rFont val="Calibri"/>
        <family val="2"/>
      </rPr>
      <t>1</t>
    </r>
    <r>
      <rPr>
        <sz val="11"/>
        <rFont val="Microsoft JhengHei"/>
        <family val="2"/>
      </rPr>
      <t>局，並無上限分</t>
    </r>
    <r>
      <rPr>
        <sz val="11"/>
        <rFont val="Calibri"/>
        <family val="2"/>
      </rPr>
      <t>.</t>
    </r>
    <r>
      <rPr>
        <sz val="11"/>
        <rFont val="Microsoft JhengHei"/>
        <family val="2"/>
      </rPr>
      <t>小組賽每勝一場得</t>
    </r>
    <r>
      <rPr>
        <sz val="11"/>
        <rFont val="Calibri"/>
        <family val="2"/>
      </rPr>
      <t>3</t>
    </r>
    <r>
      <rPr>
        <sz val="11"/>
        <rFont val="Microsoft JhengHei"/>
        <family val="2"/>
      </rPr>
      <t>分，每負一場得</t>
    </r>
    <r>
      <rPr>
        <sz val="11"/>
        <rFont val="Calibri"/>
        <family val="2"/>
      </rPr>
      <t>0</t>
    </r>
    <r>
      <rPr>
        <sz val="11"/>
        <rFont val="Microsoft JhengHei"/>
        <family val="2"/>
      </rPr>
      <t>分。</t>
    </r>
  </si>
  <si>
    <r>
      <t>一</t>
    </r>
    <r>
      <rPr>
        <sz val="11"/>
        <rFont val="Calibri"/>
        <family val="2"/>
      </rPr>
      <t>,</t>
    </r>
    <r>
      <rPr>
        <sz val="11"/>
        <rFont val="Microsoft JhengHei"/>
        <family val="2"/>
      </rPr>
      <t>二局每累積</t>
    </r>
    <r>
      <rPr>
        <sz val="11"/>
        <rFont val="Calibri"/>
        <family val="2"/>
      </rPr>
      <t>7</t>
    </r>
    <r>
      <rPr>
        <sz val="11"/>
        <rFont val="Microsoft JhengHei"/>
        <family val="2"/>
      </rPr>
      <t>分</t>
    </r>
    <r>
      <rPr>
        <sz val="11"/>
        <rFont val="Calibri"/>
        <family val="2"/>
      </rPr>
      <t>,</t>
    </r>
    <r>
      <rPr>
        <sz val="11"/>
        <rFont val="Microsoft JhengHei"/>
        <family val="2"/>
      </rPr>
      <t>決勝局每累積</t>
    </r>
    <r>
      <rPr>
        <sz val="11"/>
        <rFont val="Calibri"/>
        <family val="2"/>
      </rPr>
      <t>5</t>
    </r>
    <r>
      <rPr>
        <sz val="11"/>
        <rFont val="Microsoft JhengHei"/>
        <family val="2"/>
      </rPr>
      <t>分交換場地作賽</t>
    </r>
  </si>
  <si>
    <r>
      <t>每隊每局一次暫停</t>
    </r>
    <r>
      <rPr>
        <sz val="11"/>
        <rFont val="Calibri"/>
        <family val="2"/>
      </rPr>
      <t>,</t>
    </r>
    <r>
      <rPr>
        <sz val="11"/>
        <rFont val="Microsoft JhengHei"/>
        <family val="2"/>
      </rPr>
      <t>限時</t>
    </r>
    <r>
      <rPr>
        <sz val="11"/>
        <rFont val="Calibri"/>
        <family val="2"/>
      </rPr>
      <t>30</t>
    </r>
    <r>
      <rPr>
        <sz val="11"/>
        <rFont val="Microsoft JhengHei"/>
        <family val="2"/>
      </rPr>
      <t>秒</t>
    </r>
    <r>
      <rPr>
        <sz val="11"/>
        <rFont val="Calibri"/>
        <family val="2"/>
      </rPr>
      <t>,</t>
    </r>
    <r>
      <rPr>
        <sz val="11"/>
        <rFont val="Microsoft JhengHei"/>
        <family val="2"/>
      </rPr>
      <t>只有隊長方可要求暫停</t>
    </r>
  </si>
  <si>
    <r>
      <t>技術暫停：只設於一</t>
    </r>
    <r>
      <rPr>
        <sz val="11"/>
        <rFont val="Calibri"/>
        <family val="2"/>
      </rPr>
      <t>,</t>
    </r>
    <r>
      <rPr>
        <sz val="11"/>
        <rFont val="Microsoft JhengHei"/>
        <family val="2"/>
      </rPr>
      <t>二局</t>
    </r>
    <r>
      <rPr>
        <sz val="11"/>
        <rFont val="Calibri"/>
        <family val="2"/>
      </rPr>
      <t>,</t>
    </r>
    <r>
      <rPr>
        <sz val="11"/>
        <rFont val="Microsoft JhengHei"/>
        <family val="2"/>
      </rPr>
      <t>兩隊得分總和</t>
    </r>
    <r>
      <rPr>
        <sz val="11"/>
        <rFont val="Calibri"/>
        <family val="2"/>
      </rPr>
      <t>21</t>
    </r>
    <r>
      <rPr>
        <sz val="11"/>
        <rFont val="Microsoft JhengHei"/>
        <family val="2"/>
      </rPr>
      <t>分時自動執行</t>
    </r>
    <r>
      <rPr>
        <sz val="11"/>
        <rFont val="Calibri"/>
        <family val="2"/>
      </rPr>
      <t>,</t>
    </r>
    <r>
      <rPr>
        <sz val="11"/>
        <rFont val="Microsoft JhengHei"/>
        <family val="2"/>
      </rPr>
      <t>限時</t>
    </r>
    <r>
      <rPr>
        <sz val="11"/>
        <rFont val="Calibri"/>
        <family val="2"/>
      </rPr>
      <t>30</t>
    </r>
    <r>
      <rPr>
        <sz val="11"/>
        <rFont val="Microsoft JhengHei"/>
        <family val="2"/>
      </rPr>
      <t>秒</t>
    </r>
    <r>
      <rPr>
        <sz val="11"/>
        <rFont val="Calibri"/>
        <family val="2"/>
      </rPr>
      <t>.</t>
    </r>
  </si>
  <si>
    <t>球員不可用上手手指﹝虛攻﹞完成攻擊性擊球</t>
  </si>
  <si>
    <r>
      <t>凡</t>
    </r>
    <r>
      <rPr>
        <b/>
        <sz val="11"/>
        <rFont val="新細明體"/>
        <family val="1"/>
      </rPr>
      <t xml:space="preserve"> </t>
    </r>
    <r>
      <rPr>
        <b/>
        <sz val="11"/>
        <rFont val="Calibri"/>
        <family val="2"/>
      </rPr>
      <t xml:space="preserve">NO SHOW </t>
    </r>
    <r>
      <rPr>
        <b/>
        <sz val="11"/>
        <rFont val="Microsoft JhengHei"/>
        <family val="2"/>
      </rPr>
      <t>將不獲積分</t>
    </r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</si>
  <si>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</si>
  <si>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</si>
  <si>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</si>
  <si>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</si>
  <si>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</si>
  <si>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</si>
  <si>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</si>
  <si>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</si>
  <si>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</si>
  <si>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</si>
  <si>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</si>
  <si>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</si>
  <si>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</si>
  <si>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</si>
  <si>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</si>
  <si>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</si>
  <si>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</si>
  <si>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</si>
  <si>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</si>
  <si>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</si>
  <si>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</si>
  <si>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</si>
  <si>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 xml:space="preserve">Men Division I's net: 2.43m ;Men Division II's net: 2.35m ; Women Division I's net: 2.24m;Women Division II's net: 2.20m </t>
  </si>
  <si>
    <t>In case of 1-1 ties, the deciding set (the 3rd) is played to 15 points with a minimum lead of 2 points.In pool games,win a game will get 3 points.</t>
  </si>
  <si>
    <t>第一階段：小組單循環比賽</t>
  </si>
  <si>
    <r>
      <t xml:space="preserve">Seeding List </t>
    </r>
    <r>
      <rPr>
        <sz val="18"/>
        <rFont val="Calibri"/>
        <family val="2"/>
      </rPr>
      <t>(table 2)</t>
    </r>
  </si>
  <si>
    <r>
      <t>種子隊名單</t>
    </r>
    <r>
      <rPr>
        <sz val="16"/>
        <color indexed="12"/>
        <rFont val="Calibri"/>
        <family val="2"/>
      </rPr>
      <t>(</t>
    </r>
    <r>
      <rPr>
        <sz val="16"/>
        <color indexed="12"/>
        <rFont val="Microsoft JhengHei"/>
        <family val="2"/>
      </rPr>
      <t>表二</t>
    </r>
    <r>
      <rPr>
        <sz val="16"/>
        <color indexed="12"/>
        <rFont val="Calibri"/>
        <family val="2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</si>
  <si>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</si>
  <si>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</si>
  <si>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</si>
  <si>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</si>
  <si>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</si>
  <si>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</si>
  <si>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</si>
  <si>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</si>
  <si>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</si>
  <si>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</si>
  <si>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</si>
  <si>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t>球員</t>
    </r>
    <r>
      <rPr>
        <b/>
        <sz val="14"/>
        <rFont val="Calibri"/>
        <family val="2"/>
      </rPr>
      <t>1</t>
    </r>
  </si>
  <si>
    <t>註冊編號</t>
  </si>
  <si>
    <t>Points</t>
  </si>
  <si>
    <r>
      <t>球員</t>
    </r>
    <r>
      <rPr>
        <b/>
        <sz val="14"/>
        <rFont val="Calibri"/>
        <family val="2"/>
      </rPr>
      <t>2</t>
    </r>
  </si>
  <si>
    <t>備註</t>
  </si>
  <si>
    <t>2R</t>
  </si>
  <si>
    <t>黃俊偉</t>
  </si>
  <si>
    <t>M112</t>
  </si>
  <si>
    <t>黃冠邦</t>
  </si>
  <si>
    <t>M202</t>
  </si>
  <si>
    <t>AA1</t>
  </si>
  <si>
    <t>SCAA LL</t>
  </si>
  <si>
    <t>徐錦龍</t>
  </si>
  <si>
    <t>M323</t>
  </si>
  <si>
    <t>王沛林</t>
  </si>
  <si>
    <t>M227</t>
  </si>
  <si>
    <t>AB1</t>
  </si>
  <si>
    <t>ALPS YK</t>
  </si>
  <si>
    <t>古顯庭</t>
  </si>
  <si>
    <t>M331</t>
  </si>
  <si>
    <t>饒明淦</t>
  </si>
  <si>
    <t>M751</t>
  </si>
  <si>
    <t>AB2</t>
  </si>
  <si>
    <t>Alps SB</t>
  </si>
  <si>
    <t>張綽航</t>
  </si>
  <si>
    <t>M639</t>
  </si>
  <si>
    <t>葉志誠</t>
  </si>
  <si>
    <t>M802</t>
  </si>
  <si>
    <t>AA2</t>
  </si>
  <si>
    <t>DR Chan</t>
  </si>
  <si>
    <t>陳鉅威</t>
  </si>
  <si>
    <t>M880</t>
  </si>
  <si>
    <t>陳樂恆</t>
  </si>
  <si>
    <t>M670</t>
  </si>
  <si>
    <t>AA3</t>
  </si>
  <si>
    <t>SCAA LM</t>
  </si>
  <si>
    <t>楊博文</t>
  </si>
  <si>
    <t>M337</t>
  </si>
  <si>
    <t>林惠龍</t>
  </si>
  <si>
    <t>M744</t>
  </si>
  <si>
    <t>AB3</t>
  </si>
  <si>
    <t>Alps CAUTION</t>
  </si>
  <si>
    <t>文駿軒</t>
  </si>
  <si>
    <t>M845</t>
  </si>
  <si>
    <t>陳嘉浩</t>
  </si>
  <si>
    <t>M750</t>
  </si>
  <si>
    <t>AB4</t>
  </si>
  <si>
    <t>SA</t>
  </si>
  <si>
    <t>Thorsten Flaquiere</t>
  </si>
  <si>
    <t>M870</t>
  </si>
  <si>
    <t>Walter Mosca</t>
  </si>
  <si>
    <t>M816</t>
  </si>
  <si>
    <t>AA4</t>
  </si>
  <si>
    <t>ALPS- TW</t>
  </si>
  <si>
    <t>M762</t>
  </si>
  <si>
    <t>M556</t>
  </si>
  <si>
    <t>A1</t>
  </si>
  <si>
    <t>BnW</t>
  </si>
  <si>
    <t>M798</t>
  </si>
  <si>
    <t>M332</t>
  </si>
  <si>
    <t>B1</t>
  </si>
  <si>
    <t>SCAA YA</t>
  </si>
  <si>
    <t>M103</t>
  </si>
  <si>
    <t>M550</t>
  </si>
  <si>
    <t>C1</t>
  </si>
  <si>
    <t>Zlatan</t>
  </si>
  <si>
    <t>M291</t>
  </si>
  <si>
    <t>M935</t>
  </si>
  <si>
    <t>D1</t>
  </si>
  <si>
    <t>M908</t>
  </si>
  <si>
    <t>M901</t>
  </si>
  <si>
    <t>E1</t>
  </si>
  <si>
    <t>SKTL</t>
  </si>
  <si>
    <t>M342</t>
  </si>
  <si>
    <t>M552</t>
  </si>
  <si>
    <t>F1</t>
  </si>
  <si>
    <t>handshake</t>
  </si>
  <si>
    <t>M891</t>
  </si>
  <si>
    <t>M907</t>
  </si>
  <si>
    <t>G1</t>
  </si>
  <si>
    <t>M642</t>
  </si>
  <si>
    <t>M704</t>
  </si>
  <si>
    <t>H1</t>
  </si>
  <si>
    <t>M676</t>
  </si>
  <si>
    <t>M285</t>
  </si>
  <si>
    <t>H2</t>
  </si>
  <si>
    <t>M630</t>
  </si>
  <si>
    <t>NEW</t>
  </si>
  <si>
    <t>G2</t>
  </si>
  <si>
    <t>M229</t>
  </si>
  <si>
    <t>M890</t>
  </si>
  <si>
    <t>F2</t>
  </si>
  <si>
    <t>M934</t>
  </si>
  <si>
    <t>M936</t>
  </si>
  <si>
    <t>E2</t>
  </si>
  <si>
    <t>M224</t>
  </si>
  <si>
    <t>M353</t>
  </si>
  <si>
    <t>C2, D2</t>
  </si>
  <si>
    <t>WM</t>
  </si>
  <si>
    <t>M665</t>
  </si>
  <si>
    <t>M653</t>
  </si>
  <si>
    <t>M568</t>
  </si>
  <si>
    <t>B2</t>
  </si>
  <si>
    <t>M179</t>
  </si>
  <si>
    <t>M214</t>
  </si>
  <si>
    <t>A2</t>
  </si>
  <si>
    <t>M205</t>
  </si>
  <si>
    <t>M228</t>
  </si>
  <si>
    <t>A3, B3</t>
  </si>
  <si>
    <t>M623</t>
  </si>
  <si>
    <t>M622</t>
  </si>
  <si>
    <t>M514</t>
  </si>
  <si>
    <t>M895</t>
  </si>
  <si>
    <t>C3</t>
  </si>
  <si>
    <t>M843</t>
  </si>
  <si>
    <t>M887</t>
  </si>
  <si>
    <t>D3</t>
  </si>
  <si>
    <t>SCAA-99</t>
  </si>
  <si>
    <t>M766</t>
  </si>
  <si>
    <t>M781</t>
  </si>
  <si>
    <t>E3, F3</t>
  </si>
  <si>
    <t>SCAA K&amp;L</t>
  </si>
  <si>
    <t>M806</t>
  </si>
  <si>
    <t>M373</t>
  </si>
  <si>
    <t>G3, H3, H4, G4, F4, E4, D4, C4, B4</t>
  </si>
  <si>
    <t>HELLO</t>
  </si>
  <si>
    <t>M157</t>
  </si>
  <si>
    <t>M579</t>
  </si>
  <si>
    <t>M840</t>
  </si>
  <si>
    <t>M841</t>
  </si>
  <si>
    <t>M860</t>
  </si>
  <si>
    <t>M861</t>
  </si>
  <si>
    <t>M719</t>
  </si>
  <si>
    <t>M814</t>
  </si>
  <si>
    <t>M184</t>
  </si>
  <si>
    <t>M187</t>
  </si>
  <si>
    <t>M336</t>
  </si>
  <si>
    <t>BYE</t>
  </si>
  <si>
    <t>A4</t>
  </si>
  <si>
    <t>C2</t>
  </si>
  <si>
    <t>D2</t>
  </si>
  <si>
    <t>A3</t>
  </si>
  <si>
    <t>B3</t>
  </si>
  <si>
    <t>E3</t>
  </si>
  <si>
    <t>F3</t>
  </si>
  <si>
    <t>G3</t>
  </si>
  <si>
    <t>H3</t>
  </si>
  <si>
    <t>I1</t>
  </si>
  <si>
    <t>B4</t>
  </si>
  <si>
    <t>J1</t>
  </si>
  <si>
    <t>C4</t>
  </si>
  <si>
    <t>K1</t>
  </si>
  <si>
    <t>D4</t>
  </si>
  <si>
    <t>L1</t>
  </si>
  <si>
    <t>E4</t>
  </si>
  <si>
    <t>M1</t>
  </si>
  <si>
    <t>F4</t>
  </si>
  <si>
    <t>N1</t>
  </si>
  <si>
    <t>G4</t>
  </si>
  <si>
    <t>O1</t>
  </si>
  <si>
    <t>H4</t>
  </si>
  <si>
    <t>P1</t>
  </si>
  <si>
    <t>I2</t>
  </si>
  <si>
    <t>J2</t>
  </si>
  <si>
    <t>K2</t>
  </si>
  <si>
    <t>L2</t>
  </si>
  <si>
    <t>M2</t>
  </si>
  <si>
    <t>N2</t>
  </si>
  <si>
    <t>O2</t>
  </si>
  <si>
    <t>P2</t>
  </si>
  <si>
    <t>P3</t>
  </si>
  <si>
    <t>O3</t>
  </si>
  <si>
    <t>N3</t>
  </si>
  <si>
    <t>M3</t>
  </si>
  <si>
    <t>L3</t>
  </si>
  <si>
    <t>K3</t>
  </si>
  <si>
    <t>J3</t>
  </si>
  <si>
    <t>I3</t>
  </si>
  <si>
    <r>
      <t>a.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Microsoft JhengHei"/>
        <family val="2"/>
      </rPr>
      <t>分組方法：</t>
    </r>
  </si>
  <si>
    <r>
      <t>i</t>
    </r>
    <r>
      <rPr>
        <sz val="12"/>
        <color indexed="8"/>
        <rFont val="Microsoft JhengHei"/>
        <family val="2"/>
      </rPr>
      <t>、</t>
    </r>
    <r>
      <rPr>
        <sz val="7"/>
        <color indexed="8"/>
        <rFont val="新細明體"/>
        <family val="1"/>
      </rPr>
      <t xml:space="preserve">                        </t>
    </r>
    <r>
      <rPr>
        <sz val="12"/>
        <color indexed="8"/>
        <rFont val="Microsoft JhengHei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Microsoft JhengHei"/>
        <family val="2"/>
      </rPr>
      <t>）排列種子隊。</t>
    </r>
  </si>
  <si>
    <r>
      <t>ii</t>
    </r>
    <r>
      <rPr>
        <sz val="12"/>
        <color indexed="8"/>
        <rFont val="Microsoft JhengHei"/>
        <family val="2"/>
      </rPr>
      <t>、</t>
    </r>
    <r>
      <rPr>
        <sz val="7"/>
        <color indexed="8"/>
        <rFont val="新細明體"/>
        <family val="1"/>
      </rPr>
      <t xml:space="preserve">                    </t>
    </r>
    <r>
      <rPr>
        <sz val="12"/>
        <color indexed="8"/>
        <rFont val="Microsoft JhengHei"/>
        <family val="2"/>
      </rPr>
      <t>第</t>
    </r>
    <r>
      <rPr>
        <sz val="12"/>
        <color indexed="8"/>
        <rFont val="Calibri"/>
        <family val="2"/>
      </rPr>
      <t>1</t>
    </r>
    <r>
      <rPr>
        <sz val="12"/>
        <color indexed="8"/>
        <rFont val="Microsoft JhengHei"/>
        <family val="2"/>
      </rPr>
      <t>至第</t>
    </r>
    <r>
      <rPr>
        <sz val="12"/>
        <color indexed="8"/>
        <rFont val="Calibri"/>
        <family val="2"/>
      </rPr>
      <t>8</t>
    </r>
    <r>
      <rPr>
        <sz val="12"/>
        <color indexed="8"/>
        <rFont val="Microsoft JhengHei"/>
        <family val="2"/>
      </rPr>
      <t>種子依次編入</t>
    </r>
    <r>
      <rPr>
        <sz val="12"/>
        <color indexed="8"/>
        <rFont val="Calibri"/>
        <family val="2"/>
      </rPr>
      <t>A,B</t>
    </r>
    <r>
      <rPr>
        <sz val="12"/>
        <color indexed="8"/>
        <rFont val="Microsoft JhengHei"/>
        <family val="2"/>
      </rPr>
      <t>組。</t>
    </r>
  </si>
  <si>
    <r>
      <t>iii</t>
    </r>
    <r>
      <rPr>
        <sz val="12"/>
        <color indexed="8"/>
        <rFont val="Microsoft JhengHei"/>
        <family val="2"/>
      </rPr>
      <t>、</t>
    </r>
    <r>
      <rPr>
        <sz val="7"/>
        <color indexed="8"/>
        <rFont val="新細明體"/>
        <family val="1"/>
      </rPr>
      <t xml:space="preserve">                </t>
    </r>
    <r>
      <rPr>
        <sz val="12"/>
        <color indexed="8"/>
        <rFont val="Microsoft JhengHei"/>
        <family val="2"/>
      </rPr>
      <t>其餘隊伍如下抽簽分配於各組內。</t>
    </r>
  </si>
  <si>
    <t>A</t>
  </si>
  <si>
    <t>B</t>
  </si>
  <si>
    <t>SEED#1</t>
  </si>
  <si>
    <t>SEED#2</t>
  </si>
  <si>
    <t>SEED#4</t>
  </si>
  <si>
    <t>SEED#3</t>
  </si>
  <si>
    <t>SEED#5</t>
  </si>
  <si>
    <t>SEED#6</t>
  </si>
  <si>
    <t>SEED#8</t>
  </si>
  <si>
    <t>SEED#7</t>
  </si>
  <si>
    <r>
      <t xml:space="preserve">Draw 1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Calibri"/>
        <family val="2"/>
      </rPr>
      <t>SEED#9 – SEED#12</t>
    </r>
  </si>
  <si>
    <r>
      <t xml:space="preserve">Draw 2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Calibri"/>
        <family val="2"/>
      </rPr>
      <t>SEED#13 – SEED#16</t>
    </r>
  </si>
  <si>
    <t>SEED#9</t>
  </si>
  <si>
    <r>
      <t xml:space="preserve">Draw 3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Calibri"/>
        <family val="2"/>
      </rPr>
      <t>SEED#17 – SEED#24</t>
    </r>
  </si>
  <si>
    <t>SEED#10</t>
  </si>
  <si>
    <r>
      <t xml:space="preserve">Draw 4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Calibri"/>
        <family val="2"/>
      </rPr>
      <t xml:space="preserve">SEED#25 – SEED#32 </t>
    </r>
  </si>
  <si>
    <t>SEED#11</t>
  </si>
  <si>
    <r>
      <t xml:space="preserve">                    </t>
    </r>
    <r>
      <rPr>
        <sz val="12"/>
        <color indexed="8"/>
        <rFont val="Microsoft JhengHei"/>
        <family val="2"/>
      </rPr>
      <t>小組單循環比賽中得分由高至低依次排名次。小組首次名晉身決賽。</t>
    </r>
  </si>
  <si>
    <r>
      <t xml:space="preserve">                </t>
    </r>
    <r>
      <rPr>
        <sz val="12"/>
        <color indexed="8"/>
        <rFont val="Microsoft JhengHei"/>
        <family val="2"/>
      </rPr>
      <t>第三名為名次</t>
    </r>
    <r>
      <rPr>
        <sz val="12"/>
        <color indexed="8"/>
        <rFont val="Calibri"/>
        <family val="2"/>
      </rPr>
      <t>5</t>
    </r>
    <r>
      <rPr>
        <sz val="12"/>
        <color indexed="8"/>
        <rFont val="Microsoft JhengHei"/>
        <family val="2"/>
      </rPr>
      <t>得</t>
    </r>
    <r>
      <rPr>
        <sz val="12"/>
        <color indexed="8"/>
        <rFont val="Calibri"/>
        <family val="2"/>
      </rPr>
      <t>96</t>
    </r>
    <r>
      <rPr>
        <sz val="12"/>
        <color indexed="8"/>
        <rFont val="Microsoft JhengHei"/>
        <family val="2"/>
      </rPr>
      <t>種子分；第四名為名次</t>
    </r>
    <r>
      <rPr>
        <sz val="12"/>
        <color indexed="8"/>
        <rFont val="Calibri"/>
        <family val="2"/>
      </rPr>
      <t>7</t>
    </r>
    <r>
      <rPr>
        <sz val="12"/>
        <color indexed="8"/>
        <rFont val="Microsoft JhengHei"/>
        <family val="2"/>
      </rPr>
      <t>得</t>
    </r>
    <r>
      <rPr>
        <sz val="12"/>
        <color indexed="8"/>
        <rFont val="Calibri"/>
        <family val="2"/>
      </rPr>
      <t>84</t>
    </r>
    <r>
      <rPr>
        <sz val="12"/>
        <color indexed="8"/>
        <rFont val="Microsoft JhengHei"/>
        <family val="2"/>
      </rPr>
      <t>種子分。</t>
    </r>
  </si>
  <si>
    <r>
      <t>2</t>
    </r>
    <r>
      <rPr>
        <sz val="12"/>
        <color indexed="8"/>
        <rFont val="Microsoft JhengHei"/>
        <family val="2"/>
      </rPr>
      <t>、</t>
    </r>
    <r>
      <rPr>
        <sz val="7"/>
        <color indexed="8"/>
        <rFont val="新細明體"/>
        <family val="1"/>
      </rPr>
      <t xml:space="preserve">                       </t>
    </r>
    <r>
      <rPr>
        <sz val="12"/>
        <color indexed="8"/>
        <rFont val="Microsoft JhengHei"/>
        <family val="2"/>
      </rPr>
      <t>小組首次名交叉對賽</t>
    </r>
    <r>
      <rPr>
        <sz val="12"/>
        <color indexed="8"/>
        <rFont val="Calibri"/>
        <family val="2"/>
      </rPr>
      <t>,</t>
    </r>
    <r>
      <rPr>
        <sz val="12"/>
        <color indexed="8"/>
        <rFont val="Microsoft JhengHei"/>
        <family val="2"/>
      </rPr>
      <t>勝者進行冠軍賽</t>
    </r>
    <r>
      <rPr>
        <sz val="12"/>
        <color indexed="8"/>
        <rFont val="Calibri"/>
        <family val="2"/>
      </rPr>
      <t>,</t>
    </r>
    <r>
      <rPr>
        <sz val="12"/>
        <color indexed="8"/>
        <rFont val="Microsoft JhengHei"/>
        <family val="2"/>
      </rPr>
      <t>負者進行季軍賽；</t>
    </r>
  </si>
  <si>
    <t>MA1</t>
  </si>
  <si>
    <t>MA4</t>
  </si>
  <si>
    <t>Final 1/2 places</t>
  </si>
  <si>
    <t>MA2</t>
  </si>
  <si>
    <t>1st</t>
  </si>
  <si>
    <t>144 pts</t>
  </si>
  <si>
    <t>2nd</t>
  </si>
  <si>
    <t>132 pts</t>
  </si>
  <si>
    <t>MA3</t>
  </si>
  <si>
    <t>3rd</t>
  </si>
  <si>
    <t>120 pts</t>
  </si>
  <si>
    <t>Final 3/4 places</t>
  </si>
  <si>
    <t>4th</t>
  </si>
  <si>
    <t>108 pts</t>
  </si>
  <si>
    <t>Playing Schedule (Men's Division I)</t>
  </si>
  <si>
    <r>
      <t>賽程表</t>
    </r>
    <r>
      <rPr>
        <b/>
        <sz val="18"/>
        <rFont val="新細明體"/>
        <family val="1"/>
      </rPr>
      <t xml:space="preserve"> </t>
    </r>
    <r>
      <rPr>
        <b/>
        <sz val="18"/>
        <rFont val="Calibri"/>
        <family val="2"/>
      </rPr>
      <t>(</t>
    </r>
    <r>
      <rPr>
        <b/>
        <sz val="18"/>
        <rFont val="Microsoft JhengHei"/>
        <family val="2"/>
      </rPr>
      <t>男子甲組</t>
    </r>
    <r>
      <rPr>
        <b/>
        <sz val="18"/>
        <rFont val="Calibri"/>
        <family val="2"/>
      </rPr>
      <t>)</t>
    </r>
  </si>
  <si>
    <t>對賽隊</t>
  </si>
  <si>
    <t>局數</t>
  </si>
  <si>
    <t>分數</t>
  </si>
  <si>
    <t>比賽序號</t>
  </si>
  <si>
    <t>Match No.</t>
  </si>
  <si>
    <t>POOL</t>
  </si>
  <si>
    <t>Group</t>
  </si>
  <si>
    <t>TEAMS</t>
  </si>
  <si>
    <t>TEAM A</t>
  </si>
  <si>
    <t>TEAM B</t>
  </si>
  <si>
    <t>Serial no.</t>
  </si>
  <si>
    <t>比賽場號</t>
  </si>
  <si>
    <t>分組</t>
  </si>
  <si>
    <t>Position</t>
  </si>
  <si>
    <t>Win</t>
  </si>
  <si>
    <t>Loss</t>
  </si>
  <si>
    <t>Vs</t>
  </si>
  <si>
    <t>C</t>
  </si>
  <si>
    <t>QC1</t>
  </si>
  <si>
    <t>QC4</t>
  </si>
  <si>
    <t>QC2</t>
  </si>
  <si>
    <t>QC3</t>
  </si>
  <si>
    <t>D</t>
  </si>
  <si>
    <t>QD1</t>
  </si>
  <si>
    <t>QD4</t>
  </si>
  <si>
    <t>QD2</t>
  </si>
  <si>
    <t>QD3</t>
  </si>
  <si>
    <t>E</t>
  </si>
  <si>
    <t>F</t>
  </si>
  <si>
    <t>G</t>
  </si>
  <si>
    <t>H</t>
  </si>
  <si>
    <r>
      <t>I.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Microsoft JhengHei"/>
        <family val="2"/>
      </rPr>
      <t>男子乙組：</t>
    </r>
  </si>
  <si>
    <r>
      <t>ii</t>
    </r>
    <r>
      <rPr>
        <sz val="12"/>
        <rFont val="Microsoft JhengHei"/>
        <family val="2"/>
      </rPr>
      <t>、</t>
    </r>
    <r>
      <rPr>
        <sz val="7"/>
        <rFont val="新細明體"/>
        <family val="1"/>
      </rPr>
      <t xml:space="preserve">                    </t>
    </r>
    <r>
      <rPr>
        <sz val="12"/>
        <rFont val="Microsoft JhengHei"/>
        <family val="2"/>
      </rPr>
      <t>第</t>
    </r>
    <r>
      <rPr>
        <sz val="12"/>
        <rFont val="Calibri"/>
        <family val="2"/>
      </rPr>
      <t>9</t>
    </r>
    <r>
      <rPr>
        <sz val="12"/>
        <rFont val="Microsoft JhengHei"/>
        <family val="2"/>
      </rPr>
      <t>至第</t>
    </r>
    <r>
      <rPr>
        <sz val="12"/>
        <rFont val="Calibri"/>
        <family val="2"/>
      </rPr>
      <t>36</t>
    </r>
    <r>
      <rPr>
        <sz val="12"/>
        <rFont val="Microsoft JhengHei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Microsoft JhengHei"/>
        <family val="2"/>
      </rPr>
      <t>至</t>
    </r>
    <r>
      <rPr>
        <sz val="12"/>
        <rFont val="Calibri"/>
        <family val="2"/>
      </rPr>
      <t>H</t>
    </r>
    <r>
      <rPr>
        <sz val="12"/>
        <rFont val="Microsoft JhengHei"/>
        <family val="2"/>
      </rPr>
      <t>組。</t>
    </r>
  </si>
  <si>
    <r>
      <t>iii</t>
    </r>
    <r>
      <rPr>
        <sz val="12"/>
        <rFont val="Microsoft JhengHei"/>
        <family val="2"/>
      </rPr>
      <t>、</t>
    </r>
    <r>
      <rPr>
        <sz val="7"/>
        <rFont val="新細明體"/>
        <family val="1"/>
      </rPr>
      <t xml:space="preserve">                </t>
    </r>
    <r>
      <rPr>
        <sz val="12"/>
        <rFont val="Microsoft JhengHei"/>
        <family val="2"/>
      </rPr>
      <t>其餘隊伍根據資格賽成績分配於各組內。</t>
    </r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</si>
  <si>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</si>
  <si>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</si>
  <si>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</si>
  <si>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</si>
  <si>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</si>
  <si>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</si>
  <si>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</si>
  <si>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</si>
  <si>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</si>
  <si>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</si>
  <si>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</si>
  <si>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</si>
  <si>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</si>
  <si>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</si>
  <si>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</si>
  <si>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</si>
  <si>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</si>
  <si>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</si>
  <si>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</si>
  <si>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</si>
  <si>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</si>
  <si>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Bye</t>
  </si>
  <si>
    <t>SEED#39</t>
  </si>
  <si>
    <t>SEED#38</t>
  </si>
  <si>
    <t>SEED#37</t>
  </si>
  <si>
    <t>SEED#36</t>
  </si>
  <si>
    <t>SEED#35</t>
  </si>
  <si>
    <t>SEED#34</t>
  </si>
  <si>
    <t>SEED#33</t>
  </si>
  <si>
    <r>
      <t>                </t>
    </r>
    <r>
      <rPr>
        <sz val="12"/>
        <rFont val="Microsoft JhengHei"/>
        <family val="2"/>
      </rPr>
      <t>小組單循環比賽中得分由高至低依次排名次。首次名晉級。</t>
    </r>
  </si>
  <si>
    <r>
      <t>        </t>
    </r>
    <r>
      <rPr>
        <sz val="12"/>
        <rFont val="Microsoft JhengHei"/>
        <family val="2"/>
      </rPr>
      <t>第三名為名次</t>
    </r>
    <r>
      <rPr>
        <sz val="12"/>
        <rFont val="Calibri"/>
        <family val="2"/>
      </rPr>
      <t>33</t>
    </r>
    <r>
      <rPr>
        <sz val="12"/>
        <rFont val="Microsoft JhengHei"/>
        <family val="2"/>
      </rPr>
      <t>得</t>
    </r>
    <r>
      <rPr>
        <sz val="12"/>
        <rFont val="Calibri"/>
        <family val="2"/>
      </rPr>
      <t>36</t>
    </r>
    <r>
      <rPr>
        <sz val="12"/>
        <rFont val="Microsoft JhengHei"/>
        <family val="2"/>
      </rPr>
      <t>種子分。</t>
    </r>
  </si>
  <si>
    <r>
      <t>b.     16</t>
    </r>
    <r>
      <rPr>
        <sz val="12"/>
        <color indexed="8"/>
        <rFont val="Microsoft JhengHei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Microsoft JhengHei"/>
        <family val="2"/>
      </rPr>
      <t>至</t>
    </r>
    <r>
      <rPr>
        <sz val="12"/>
        <color indexed="8"/>
        <rFont val="Calibri"/>
        <family val="2"/>
      </rPr>
      <t>17</t>
    </r>
    <r>
      <rPr>
        <sz val="12"/>
        <color indexed="8"/>
        <rFont val="Microsoft JhengHei"/>
        <family val="2"/>
      </rPr>
      <t>名次。</t>
    </r>
  </si>
  <si>
    <t>MB1</t>
  </si>
  <si>
    <t>MB9</t>
  </si>
  <si>
    <t>MB2</t>
  </si>
  <si>
    <t>MB13</t>
  </si>
  <si>
    <t>MB3</t>
  </si>
  <si>
    <t>MB10</t>
  </si>
  <si>
    <t>MB4</t>
  </si>
  <si>
    <t>MB15</t>
  </si>
  <si>
    <t>MB16</t>
  </si>
  <si>
    <t>MB5</t>
  </si>
  <si>
    <t>MB11</t>
  </si>
  <si>
    <t>MB6</t>
  </si>
  <si>
    <t>MB14</t>
  </si>
  <si>
    <t>96 pts</t>
  </si>
  <si>
    <t>MB7</t>
  </si>
  <si>
    <t>84 pts</t>
  </si>
  <si>
    <t>5th</t>
  </si>
  <si>
    <t>72 pts</t>
  </si>
  <si>
    <t>9th</t>
  </si>
  <si>
    <t>54 pts</t>
  </si>
  <si>
    <t>17th</t>
  </si>
  <si>
    <t>48 pts</t>
  </si>
  <si>
    <t>33rd</t>
  </si>
  <si>
    <t>36 pts</t>
  </si>
  <si>
    <t>MB12</t>
  </si>
  <si>
    <t>MB8</t>
  </si>
  <si>
    <t>Playing Schedule (Men's Division II)</t>
  </si>
  <si>
    <t>Total Match Duration</t>
  </si>
  <si>
    <t>Hiphing</t>
  </si>
  <si>
    <t>F538</t>
  </si>
  <si>
    <t>F395</t>
  </si>
  <si>
    <t>ST</t>
  </si>
  <si>
    <t>F530</t>
  </si>
  <si>
    <t>F115</t>
  </si>
  <si>
    <t>Acti-tape</t>
  </si>
  <si>
    <t>F202</t>
  </si>
  <si>
    <t>F628</t>
  </si>
  <si>
    <t>F681</t>
  </si>
  <si>
    <t>F735</t>
  </si>
  <si>
    <t>AA2, AA3</t>
  </si>
  <si>
    <t>20CM</t>
  </si>
  <si>
    <t>F616</t>
  </si>
  <si>
    <t>Marit Zahkna</t>
  </si>
  <si>
    <t>F687</t>
  </si>
  <si>
    <t>SURVIVOR</t>
  </si>
  <si>
    <t>F583</t>
  </si>
  <si>
    <t>F582</t>
  </si>
  <si>
    <t>NyiYht</t>
  </si>
  <si>
    <t>F660</t>
  </si>
  <si>
    <t>F609</t>
  </si>
  <si>
    <t>AB4, AA4</t>
  </si>
  <si>
    <t>F526</t>
  </si>
  <si>
    <t>F426</t>
  </si>
  <si>
    <t>GG</t>
  </si>
  <si>
    <t>F148</t>
  </si>
  <si>
    <t>F564</t>
  </si>
  <si>
    <t>A1, B1</t>
  </si>
  <si>
    <t>Men</t>
  </si>
  <si>
    <t>F599</t>
  </si>
  <si>
    <t>F153</t>
  </si>
  <si>
    <t>Yumika</t>
  </si>
  <si>
    <t>F439</t>
  </si>
  <si>
    <t>F105</t>
  </si>
  <si>
    <t>Blue team</t>
  </si>
  <si>
    <t>F611</t>
  </si>
  <si>
    <t>F631</t>
  </si>
  <si>
    <t>F678</t>
  </si>
  <si>
    <t>F679</t>
  </si>
  <si>
    <t>F179</t>
  </si>
  <si>
    <t>F531</t>
  </si>
  <si>
    <t>The Passionate Miami</t>
  </si>
  <si>
    <t>F649</t>
  </si>
  <si>
    <t>F596</t>
  </si>
  <si>
    <t>F750</t>
  </si>
  <si>
    <t>F757</t>
  </si>
  <si>
    <t>I&amp;O</t>
  </si>
  <si>
    <t>F624</t>
  </si>
  <si>
    <t>F717</t>
  </si>
  <si>
    <t>YMYM</t>
  </si>
  <si>
    <t>F132</t>
  </si>
  <si>
    <t>F201</t>
  </si>
  <si>
    <t>Reunion</t>
  </si>
  <si>
    <t>F585</t>
  </si>
  <si>
    <t>F142</t>
  </si>
  <si>
    <t>MS YY</t>
  </si>
  <si>
    <t>F672</t>
  </si>
  <si>
    <t>D3, D4</t>
  </si>
  <si>
    <t>QT1</t>
  </si>
  <si>
    <t>QT2</t>
  </si>
  <si>
    <t>QT3</t>
  </si>
  <si>
    <t>QT4</t>
  </si>
  <si>
    <t>QT5</t>
  </si>
  <si>
    <r>
      <t>I.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Microsoft JhengHei"/>
        <family val="2"/>
      </rPr>
      <t>女子甲組：</t>
    </r>
  </si>
  <si>
    <t>WA1</t>
  </si>
  <si>
    <t>WA4</t>
  </si>
  <si>
    <t>WA2</t>
  </si>
  <si>
    <t>WA3</t>
  </si>
  <si>
    <t>Playing Schedule (Women's Division I)</t>
  </si>
  <si>
    <t>.</t>
  </si>
  <si>
    <r>
      <t>I.       </t>
    </r>
    <r>
      <rPr>
        <sz val="14"/>
        <color indexed="8"/>
        <rFont val="Microsoft JhengHei"/>
        <family val="2"/>
      </rPr>
      <t>女子乙組：</t>
    </r>
  </si>
  <si>
    <r>
      <t>ii</t>
    </r>
    <r>
      <rPr>
        <sz val="12"/>
        <rFont val="Microsoft JhengHei"/>
        <family val="2"/>
      </rPr>
      <t>、</t>
    </r>
    <r>
      <rPr>
        <sz val="7"/>
        <rFont val="新細明體"/>
        <family val="1"/>
      </rPr>
      <t xml:space="preserve">                    </t>
    </r>
    <r>
      <rPr>
        <sz val="12"/>
        <rFont val="Microsoft JhengHei"/>
        <family val="2"/>
      </rPr>
      <t>第</t>
    </r>
    <r>
      <rPr>
        <sz val="12"/>
        <rFont val="Calibri"/>
        <family val="2"/>
      </rPr>
      <t>9</t>
    </r>
    <r>
      <rPr>
        <sz val="12"/>
        <rFont val="Microsoft JhengHei"/>
        <family val="2"/>
      </rPr>
      <t>至第</t>
    </r>
    <r>
      <rPr>
        <sz val="12"/>
        <rFont val="Calibri"/>
        <family val="2"/>
      </rPr>
      <t>27</t>
    </r>
    <r>
      <rPr>
        <sz val="12"/>
        <rFont val="Microsoft JhengHei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Microsoft JhengHei"/>
        <family val="2"/>
      </rPr>
      <t>至</t>
    </r>
    <r>
      <rPr>
        <sz val="12"/>
        <rFont val="Calibri"/>
        <family val="2"/>
      </rPr>
      <t>H</t>
    </r>
    <r>
      <rPr>
        <sz val="12"/>
        <rFont val="Microsoft JhengHei"/>
        <family val="2"/>
      </rPr>
      <t>組。</t>
    </r>
  </si>
  <si>
    <r>
      <t>小組單循環比賽中得分由高至低依次排名次，首次名晉級。</t>
    </r>
    <r>
      <rPr>
        <sz val="12"/>
        <rFont val="Calibri"/>
        <family val="2"/>
      </rPr>
      <t>(</t>
    </r>
    <r>
      <rPr>
        <sz val="12"/>
        <rFont val="Microsoft JhengHei"/>
        <family val="2"/>
      </rPr>
      <t>如隊伍成績相同，將進行抽籤</t>
    </r>
    <r>
      <rPr>
        <sz val="12"/>
        <rFont val="Calibri"/>
        <family val="2"/>
      </rPr>
      <t>)</t>
    </r>
  </si>
  <si>
    <r>
      <t>第三名為名次</t>
    </r>
    <r>
      <rPr>
        <sz val="12"/>
        <rFont val="Calibri"/>
        <family val="2"/>
      </rPr>
      <t>17</t>
    </r>
    <r>
      <rPr>
        <sz val="12"/>
        <rFont val="Microsoft JhengHei"/>
        <family val="2"/>
      </rPr>
      <t>得</t>
    </r>
    <r>
      <rPr>
        <sz val="12"/>
        <rFont val="Calibri"/>
        <family val="2"/>
      </rPr>
      <t>48</t>
    </r>
    <r>
      <rPr>
        <sz val="12"/>
        <rFont val="Microsoft JhengHei"/>
        <family val="2"/>
      </rPr>
      <t>種子分。</t>
    </r>
  </si>
  <si>
    <r>
      <t>2.     8</t>
    </r>
    <r>
      <rPr>
        <sz val="12"/>
        <color indexed="8"/>
        <rFont val="Microsoft JhengHei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Microsoft JhengHei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Microsoft JhengHei"/>
        <family val="2"/>
      </rPr>
      <t>名次。</t>
    </r>
  </si>
  <si>
    <t>WB1</t>
  </si>
  <si>
    <t>WB5</t>
  </si>
  <si>
    <t>WB2</t>
  </si>
  <si>
    <t>WB8</t>
  </si>
  <si>
    <t>WB3</t>
  </si>
  <si>
    <t>WB6</t>
  </si>
  <si>
    <t>WB4</t>
  </si>
  <si>
    <t>WB7</t>
  </si>
  <si>
    <t>Playing Schedule (Women's Division II)</t>
  </si>
  <si>
    <r>
      <t>第</t>
    </r>
    <r>
      <rPr>
        <b/>
        <u val="single"/>
        <sz val="12"/>
        <rFont val="Calibri"/>
        <family val="2"/>
      </rPr>
      <t>22</t>
    </r>
    <r>
      <rPr>
        <b/>
        <u val="single"/>
        <sz val="12"/>
        <rFont val="Microsoft JhengHei"/>
        <family val="2"/>
      </rPr>
      <t>屆全港公開沙灘排球錦標賽時間表</t>
    </r>
  </si>
  <si>
    <t>22nd Hong Kong Beach Volleyball Open Time-table</t>
  </si>
  <si>
    <t>The Playing Schedule MAY BE affected by the progression of previous match days</t>
  </si>
  <si>
    <t>賽程可能被上周未能完成的賽事之進度影響</t>
  </si>
  <si>
    <t>1st digit</t>
  </si>
  <si>
    <r>
      <t xml:space="preserve">M -Men </t>
    </r>
    <r>
      <rPr>
        <sz val="11"/>
        <rFont val="Microsoft JhengHei"/>
        <family val="2"/>
      </rPr>
      <t>男</t>
    </r>
  </si>
  <si>
    <r>
      <t>W-Women</t>
    </r>
    <r>
      <rPr>
        <sz val="11"/>
        <rFont val="Microsoft JhengHei"/>
        <family val="2"/>
      </rPr>
      <t>女</t>
    </r>
  </si>
  <si>
    <t>Starting Time</t>
  </si>
  <si>
    <t>Serial No.</t>
  </si>
  <si>
    <r>
      <t xml:space="preserve">COURT </t>
    </r>
    <r>
      <rPr>
        <sz val="12"/>
        <rFont val="Microsoft JhengHei"/>
        <family val="2"/>
      </rPr>
      <t>球場</t>
    </r>
    <r>
      <rPr>
        <sz val="12"/>
        <rFont val="新細明體"/>
        <family val="1"/>
      </rPr>
      <t xml:space="preserve"> </t>
    </r>
    <r>
      <rPr>
        <sz val="12"/>
        <rFont val="Microsoft JhengHei"/>
        <family val="2"/>
      </rPr>
      <t>黃金海岸</t>
    </r>
    <r>
      <rPr>
        <sz val="12"/>
        <rFont val="Calibri"/>
        <family val="2"/>
      </rPr>
      <t>(</t>
    </r>
    <r>
      <rPr>
        <sz val="12"/>
        <rFont val="Microsoft JhengHei"/>
        <family val="2"/>
      </rPr>
      <t>新咖啡灣</t>
    </r>
    <r>
      <rPr>
        <sz val="12"/>
        <rFont val="Calibri"/>
        <family val="2"/>
      </rPr>
      <t>)</t>
    </r>
    <r>
      <rPr>
        <sz val="12"/>
        <rFont val="Microsoft JhengHei"/>
        <family val="2"/>
      </rPr>
      <t>泳灘</t>
    </r>
  </si>
  <si>
    <t>2nd digit</t>
  </si>
  <si>
    <t>Pool</t>
  </si>
  <si>
    <t>開始時間</t>
  </si>
  <si>
    <t>序號</t>
  </si>
  <si>
    <t>3rd digit</t>
  </si>
  <si>
    <t>比賽編號</t>
  </si>
  <si>
    <t>MAA5</t>
  </si>
  <si>
    <t>MAA6</t>
  </si>
  <si>
    <t>MAB5</t>
  </si>
  <si>
    <t>MAB6</t>
  </si>
  <si>
    <t>WAA1</t>
  </si>
  <si>
    <t>WAA2</t>
  </si>
  <si>
    <t>WAB1</t>
  </si>
  <si>
    <t>WAB2</t>
  </si>
  <si>
    <t>WAA3</t>
  </si>
  <si>
    <t>WAA4</t>
  </si>
  <si>
    <t>LUNCH BREAK (T.B.C.)</t>
  </si>
  <si>
    <t>WAB3</t>
  </si>
  <si>
    <t>WAB4</t>
  </si>
  <si>
    <t>MAA1</t>
  </si>
  <si>
    <t>MAA2</t>
  </si>
  <si>
    <t>WAA5</t>
  </si>
  <si>
    <t>WAA6</t>
  </si>
  <si>
    <t>MAB1</t>
  </si>
  <si>
    <t>MAB2</t>
  </si>
  <si>
    <t>WAB5</t>
  </si>
  <si>
    <t>WAB6</t>
  </si>
  <si>
    <t>MAA3</t>
  </si>
  <si>
    <t>MAA4</t>
  </si>
  <si>
    <t>MAB3</t>
  </si>
  <si>
    <t>MAB4</t>
  </si>
  <si>
    <r>
      <t xml:space="preserve">Note </t>
    </r>
    <r>
      <rPr>
        <sz val="12"/>
        <rFont val="Microsoft JhengHei"/>
        <family val="2"/>
      </rPr>
      <t>註</t>
    </r>
    <r>
      <rPr>
        <sz val="12"/>
        <rFont val="Calibri"/>
        <family val="2"/>
      </rPr>
      <t>:</t>
    </r>
  </si>
  <si>
    <t>MBD1</t>
  </si>
  <si>
    <t>MBD2</t>
  </si>
  <si>
    <t>MBC1</t>
  </si>
  <si>
    <t>MBC2</t>
  </si>
  <si>
    <t>MBD3</t>
  </si>
  <si>
    <t>MBD4</t>
  </si>
  <si>
    <t>MBC3</t>
  </si>
  <si>
    <t>MBC4</t>
  </si>
  <si>
    <t>MBF1</t>
  </si>
  <si>
    <t>MBF2</t>
  </si>
  <si>
    <t>MBC5</t>
  </si>
  <si>
    <t>MBC6</t>
  </si>
  <si>
    <t>MBF3</t>
  </si>
  <si>
    <t>MBF4</t>
  </si>
  <si>
    <t>MBD5</t>
  </si>
  <si>
    <t>MBD6</t>
  </si>
  <si>
    <t>MBF5</t>
  </si>
  <si>
    <t>MBF6</t>
  </si>
  <si>
    <t>MBB1</t>
  </si>
  <si>
    <t>MBB2</t>
  </si>
  <si>
    <t>MBE1</t>
  </si>
  <si>
    <t>MBE2</t>
  </si>
  <si>
    <t>WBA1</t>
  </si>
  <si>
    <t>WBB1</t>
  </si>
  <si>
    <t>MBB3</t>
  </si>
  <si>
    <t>MBB4</t>
  </si>
  <si>
    <t>WBA2</t>
  </si>
  <si>
    <t>WBB2</t>
  </si>
  <si>
    <t>MBE3</t>
  </si>
  <si>
    <t>MBE4</t>
  </si>
  <si>
    <t>WBA3</t>
  </si>
  <si>
    <t>WBB3</t>
  </si>
  <si>
    <t>MBG1</t>
  </si>
  <si>
    <t>MBG2</t>
  </si>
  <si>
    <t>MBB5</t>
  </si>
  <si>
    <t>MBB6</t>
  </si>
  <si>
    <t>MBG3</t>
  </si>
  <si>
    <t>MBG4</t>
  </si>
  <si>
    <t>MBH1</t>
  </si>
  <si>
    <t>MBH2</t>
  </si>
  <si>
    <t>MBG5</t>
  </si>
  <si>
    <t>MBG6</t>
  </si>
  <si>
    <t>MBA3</t>
  </si>
  <si>
    <t>WBC1</t>
  </si>
  <si>
    <t>MBA2</t>
  </si>
  <si>
    <t>WBC2</t>
  </si>
  <si>
    <t>MBH3</t>
  </si>
  <si>
    <t>MBH4</t>
  </si>
  <si>
    <t>MBA6</t>
  </si>
  <si>
    <t>WBC3</t>
  </si>
  <si>
    <t>MBE5</t>
  </si>
  <si>
    <t>MBE6</t>
  </si>
  <si>
    <t>MBH5</t>
  </si>
  <si>
    <t>MBH6</t>
  </si>
  <si>
    <t>WBD1</t>
  </si>
  <si>
    <t>WBD2</t>
  </si>
  <si>
    <t>WBD3</t>
  </si>
  <si>
    <t>WBD4</t>
  </si>
  <si>
    <t>WBD5</t>
  </si>
  <si>
    <t>WBD6</t>
  </si>
  <si>
    <t>A1</t>
  </si>
  <si>
    <t>D1</t>
  </si>
  <si>
    <t>C1</t>
  </si>
  <si>
    <t>B1</t>
  </si>
  <si>
    <t>Draw</t>
  </si>
  <si>
    <t>H1</t>
  </si>
  <si>
    <t>F1</t>
  </si>
  <si>
    <t>E1</t>
  </si>
  <si>
    <t>G1</t>
  </si>
  <si>
    <r>
      <rPr>
        <sz val="14"/>
        <rFont val="微軟正黑體"/>
        <family val="2"/>
      </rPr>
      <t>謝鍵泓</t>
    </r>
  </si>
  <si>
    <r>
      <rPr>
        <sz val="14"/>
        <rFont val="微軟正黑體"/>
        <family val="2"/>
      </rPr>
      <t>黃嘉潤</t>
    </r>
  </si>
  <si>
    <r>
      <rPr>
        <sz val="14"/>
        <rFont val="微軟正黑體"/>
        <family val="2"/>
      </rPr>
      <t>雲維華</t>
    </r>
  </si>
  <si>
    <r>
      <rPr>
        <sz val="14"/>
        <rFont val="微軟正黑體"/>
        <family val="2"/>
      </rPr>
      <t>張志坤</t>
    </r>
  </si>
  <si>
    <r>
      <rPr>
        <sz val="14"/>
        <rFont val="微軟正黑體"/>
        <family val="2"/>
      </rPr>
      <t>張海鷹</t>
    </r>
  </si>
  <si>
    <r>
      <rPr>
        <sz val="14"/>
        <rFont val="微軟正黑體"/>
        <family val="2"/>
      </rPr>
      <t>丘至剛</t>
    </r>
  </si>
  <si>
    <r>
      <rPr>
        <sz val="14"/>
        <rFont val="微軟正黑體"/>
        <family val="2"/>
      </rPr>
      <t>黃駿安</t>
    </r>
  </si>
  <si>
    <r>
      <rPr>
        <sz val="14"/>
        <rFont val="微軟正黑體"/>
        <family val="2"/>
      </rPr>
      <t>梁譽騰</t>
    </r>
  </si>
  <si>
    <r>
      <rPr>
        <sz val="14"/>
        <rFont val="微軟正黑體"/>
        <family val="2"/>
      </rPr>
      <t>後生仔</t>
    </r>
  </si>
  <si>
    <r>
      <rPr>
        <sz val="14"/>
        <rFont val="微軟正黑體"/>
        <family val="2"/>
      </rPr>
      <t>鍾皓聰</t>
    </r>
  </si>
  <si>
    <r>
      <rPr>
        <sz val="14"/>
        <rFont val="微軟正黑體"/>
        <family val="2"/>
      </rPr>
      <t>魏雋仁</t>
    </r>
  </si>
  <si>
    <r>
      <rPr>
        <sz val="14"/>
        <rFont val="微軟正黑體"/>
        <family val="2"/>
      </rPr>
      <t>余天樂</t>
    </r>
  </si>
  <si>
    <r>
      <rPr>
        <sz val="14"/>
        <rFont val="微軟正黑體"/>
        <family val="2"/>
      </rPr>
      <t>廖樞麒</t>
    </r>
  </si>
  <si>
    <r>
      <rPr>
        <sz val="14"/>
        <rFont val="微軟正黑體"/>
        <family val="2"/>
      </rPr>
      <t>簡詩恆</t>
    </r>
  </si>
  <si>
    <r>
      <rPr>
        <sz val="14"/>
        <rFont val="微軟正黑體"/>
        <family val="2"/>
      </rPr>
      <t>黃震</t>
    </r>
  </si>
  <si>
    <r>
      <rPr>
        <sz val="14"/>
        <rFont val="微軟正黑體"/>
        <family val="2"/>
      </rPr>
      <t>撈碧鵰</t>
    </r>
  </si>
  <si>
    <r>
      <rPr>
        <sz val="14"/>
        <rFont val="微軟正黑體"/>
        <family val="2"/>
      </rPr>
      <t>陳暐晴</t>
    </r>
  </si>
  <si>
    <r>
      <rPr>
        <sz val="14"/>
        <rFont val="微軟正黑體"/>
        <family val="2"/>
      </rPr>
      <t>黃志傑</t>
    </r>
  </si>
  <si>
    <r>
      <t>Alps</t>
    </r>
    <r>
      <rPr>
        <sz val="14"/>
        <rFont val="微軟正黑體"/>
        <family val="2"/>
      </rPr>
      <t>琨</t>
    </r>
  </si>
  <si>
    <r>
      <rPr>
        <sz val="14"/>
        <rFont val="微軟正黑體"/>
        <family val="2"/>
      </rPr>
      <t>李俊傑</t>
    </r>
  </si>
  <si>
    <r>
      <rPr>
        <sz val="14"/>
        <rFont val="微軟正黑體"/>
        <family val="2"/>
      </rPr>
      <t>余瑞琨</t>
    </r>
  </si>
  <si>
    <r>
      <rPr>
        <sz val="14"/>
        <rFont val="微軟正黑體"/>
        <family val="2"/>
      </rPr>
      <t>紅藍</t>
    </r>
  </si>
  <si>
    <r>
      <rPr>
        <sz val="14"/>
        <rFont val="微軟正黑體"/>
        <family val="2"/>
      </rPr>
      <t>陳品全</t>
    </r>
  </si>
  <si>
    <r>
      <rPr>
        <sz val="14"/>
        <rFont val="微軟正黑體"/>
        <family val="2"/>
      </rPr>
      <t>于正坤</t>
    </r>
  </si>
  <si>
    <r>
      <rPr>
        <sz val="14"/>
        <rFont val="微軟正黑體"/>
        <family val="2"/>
      </rPr>
      <t>傻烽</t>
    </r>
  </si>
  <si>
    <r>
      <rPr>
        <sz val="14"/>
        <rFont val="微軟正黑體"/>
        <family val="2"/>
      </rPr>
      <t>莊紀來</t>
    </r>
  </si>
  <si>
    <r>
      <rPr>
        <sz val="14"/>
        <rFont val="微軟正黑體"/>
        <family val="2"/>
      </rPr>
      <t>關梓烽</t>
    </r>
  </si>
  <si>
    <r>
      <rPr>
        <sz val="14"/>
        <rFont val="微軟正黑體"/>
        <family val="2"/>
      </rPr>
      <t>米奇與勁大隻傑</t>
    </r>
  </si>
  <si>
    <r>
      <rPr>
        <sz val="14"/>
        <rFont val="微軟正黑體"/>
        <family val="2"/>
      </rPr>
      <t>劉卓然</t>
    </r>
  </si>
  <si>
    <r>
      <rPr>
        <sz val="14"/>
        <rFont val="微軟正黑體"/>
        <family val="2"/>
      </rPr>
      <t>陳煒傑</t>
    </r>
  </si>
  <si>
    <r>
      <rPr>
        <sz val="14"/>
        <rFont val="微軟正黑體"/>
        <family val="2"/>
      </rPr>
      <t>早餐專家</t>
    </r>
  </si>
  <si>
    <r>
      <rPr>
        <sz val="14"/>
        <rFont val="微軟正黑體"/>
        <family val="2"/>
      </rPr>
      <t>程文達</t>
    </r>
  </si>
  <si>
    <r>
      <rPr>
        <sz val="14"/>
        <rFont val="微軟正黑體"/>
        <family val="2"/>
      </rPr>
      <t>江家聲</t>
    </r>
  </si>
  <si>
    <r>
      <rPr>
        <sz val="14"/>
        <rFont val="微軟正黑體"/>
        <family val="2"/>
      </rPr>
      <t>麥浩暘</t>
    </r>
  </si>
  <si>
    <r>
      <rPr>
        <sz val="14"/>
        <rFont val="微軟正黑體"/>
        <family val="2"/>
      </rPr>
      <t>王澄晞</t>
    </r>
  </si>
  <si>
    <r>
      <rPr>
        <sz val="14"/>
        <rFont val="微軟正黑體"/>
        <family val="2"/>
      </rPr>
      <t>過晒氣</t>
    </r>
  </si>
  <si>
    <r>
      <rPr>
        <sz val="14"/>
        <rFont val="微軟正黑體"/>
        <family val="2"/>
      </rPr>
      <t>李梓恆</t>
    </r>
  </si>
  <si>
    <r>
      <rPr>
        <sz val="14"/>
        <rFont val="微軟正黑體"/>
        <family val="2"/>
      </rPr>
      <t>梁志華</t>
    </r>
  </si>
  <si>
    <r>
      <rPr>
        <sz val="14"/>
        <rFont val="微軟正黑體"/>
        <family val="2"/>
      </rPr>
      <t>柏陞</t>
    </r>
  </si>
  <si>
    <r>
      <rPr>
        <sz val="14"/>
        <rFont val="微軟正黑體"/>
        <family val="2"/>
      </rPr>
      <t>林柏均</t>
    </r>
  </si>
  <si>
    <r>
      <rPr>
        <sz val="14"/>
        <rFont val="微軟正黑體"/>
        <family val="2"/>
      </rPr>
      <t>杜顯陞</t>
    </r>
  </si>
  <si>
    <r>
      <rPr>
        <sz val="14"/>
        <rFont val="微軟正黑體"/>
        <family val="2"/>
      </rPr>
      <t>蔡偉傑</t>
    </r>
  </si>
  <si>
    <r>
      <rPr>
        <sz val="14"/>
        <rFont val="微軟正黑體"/>
        <family val="2"/>
      </rPr>
      <t>張富鍵</t>
    </r>
  </si>
  <si>
    <r>
      <rPr>
        <sz val="14"/>
        <rFont val="微軟正黑體"/>
        <family val="2"/>
      </rPr>
      <t>霖完未</t>
    </r>
    <r>
      <rPr>
        <sz val="14"/>
        <rFont val="Calibri"/>
        <family val="2"/>
      </rPr>
      <t>JACK</t>
    </r>
  </si>
  <si>
    <r>
      <rPr>
        <sz val="14"/>
        <rFont val="微軟正黑體"/>
        <family val="2"/>
      </rPr>
      <t>戴展峯</t>
    </r>
  </si>
  <si>
    <r>
      <rPr>
        <sz val="14"/>
        <rFont val="微軟正黑體"/>
        <family val="2"/>
      </rPr>
      <t>陳浩霖</t>
    </r>
  </si>
  <si>
    <r>
      <rPr>
        <sz val="14"/>
        <rFont val="微軟正黑體"/>
        <family val="2"/>
      </rPr>
      <t>我叫你</t>
    </r>
  </si>
  <si>
    <r>
      <rPr>
        <sz val="14"/>
        <rFont val="微軟正黑體"/>
        <family val="2"/>
      </rPr>
      <t>譚洭倫</t>
    </r>
  </si>
  <si>
    <r>
      <rPr>
        <sz val="14"/>
        <rFont val="微軟正黑體"/>
        <family val="2"/>
      </rPr>
      <t>蘇俊傑</t>
    </r>
  </si>
  <si>
    <r>
      <rPr>
        <sz val="14"/>
        <rFont val="微軟正黑體"/>
        <family val="2"/>
      </rPr>
      <t>熱情的麻鷹</t>
    </r>
  </si>
  <si>
    <r>
      <rPr>
        <sz val="14"/>
        <rFont val="微軟正黑體"/>
        <family val="2"/>
      </rPr>
      <t>李健禧</t>
    </r>
  </si>
  <si>
    <r>
      <rPr>
        <sz val="14"/>
        <rFont val="微軟正黑體"/>
        <family val="2"/>
      </rPr>
      <t>張永暉</t>
    </r>
  </si>
  <si>
    <r>
      <rPr>
        <sz val="14"/>
        <rFont val="微軟正黑體"/>
        <family val="2"/>
      </rPr>
      <t>陸俊勤</t>
    </r>
  </si>
  <si>
    <r>
      <rPr>
        <sz val="14"/>
        <rFont val="微軟正黑體"/>
        <family val="2"/>
      </rPr>
      <t>林灝銘</t>
    </r>
  </si>
  <si>
    <r>
      <rPr>
        <sz val="14"/>
        <rFont val="微軟正黑體"/>
        <family val="2"/>
      </rPr>
      <t>柳凱富</t>
    </r>
  </si>
  <si>
    <r>
      <rPr>
        <sz val="14"/>
        <rFont val="微軟正黑體"/>
        <family val="2"/>
      </rPr>
      <t>甘力軒</t>
    </r>
  </si>
  <si>
    <r>
      <rPr>
        <sz val="14"/>
        <rFont val="微軟正黑體"/>
        <family val="2"/>
      </rPr>
      <t>呀哈</t>
    </r>
  </si>
  <si>
    <r>
      <rPr>
        <sz val="14"/>
        <rFont val="微軟正黑體"/>
        <family val="2"/>
      </rPr>
      <t>張竣棓</t>
    </r>
  </si>
  <si>
    <r>
      <rPr>
        <sz val="14"/>
        <rFont val="微軟正黑體"/>
        <family val="2"/>
      </rPr>
      <t>鄭駿業</t>
    </r>
  </si>
  <si>
    <r>
      <rPr>
        <sz val="14"/>
        <rFont val="微軟正黑體"/>
        <family val="2"/>
      </rPr>
      <t>李智恒</t>
    </r>
  </si>
  <si>
    <r>
      <rPr>
        <sz val="14"/>
        <rFont val="微軟正黑體"/>
        <family val="2"/>
      </rPr>
      <t>梁焯垣</t>
    </r>
  </si>
  <si>
    <r>
      <rPr>
        <sz val="14"/>
        <rFont val="微軟正黑體"/>
        <family val="2"/>
      </rPr>
      <t>一般貨色</t>
    </r>
  </si>
  <si>
    <r>
      <rPr>
        <sz val="14"/>
        <rFont val="微軟正黑體"/>
        <family val="2"/>
      </rPr>
      <t>林子揚</t>
    </r>
  </si>
  <si>
    <r>
      <rPr>
        <sz val="14"/>
        <rFont val="微軟正黑體"/>
        <family val="2"/>
      </rPr>
      <t>關梓軒</t>
    </r>
  </si>
  <si>
    <r>
      <rPr>
        <sz val="14"/>
        <rFont val="微軟正黑體"/>
        <family val="2"/>
      </rPr>
      <t>肇青一隊</t>
    </r>
  </si>
  <si>
    <r>
      <rPr>
        <sz val="14"/>
        <rFont val="微軟正黑體"/>
        <family val="2"/>
      </rPr>
      <t>何厚銓</t>
    </r>
  </si>
  <si>
    <r>
      <rPr>
        <sz val="14"/>
        <rFont val="微軟正黑體"/>
        <family val="2"/>
      </rPr>
      <t>霍祖迪</t>
    </r>
  </si>
  <si>
    <r>
      <rPr>
        <sz val="14"/>
        <rFont val="微軟正黑體"/>
        <family val="2"/>
      </rPr>
      <t>肇青二隊</t>
    </r>
  </si>
  <si>
    <r>
      <rPr>
        <sz val="14"/>
        <rFont val="微軟正黑體"/>
        <family val="2"/>
      </rPr>
      <t>鄺浩廷</t>
    </r>
  </si>
  <si>
    <r>
      <rPr>
        <sz val="14"/>
        <rFont val="微軟正黑體"/>
        <family val="2"/>
      </rPr>
      <t>歐添祥</t>
    </r>
  </si>
  <si>
    <r>
      <rPr>
        <sz val="14"/>
        <rFont val="微軟正黑體"/>
        <family val="2"/>
      </rPr>
      <t>肇青三隊</t>
    </r>
  </si>
  <si>
    <r>
      <rPr>
        <sz val="14"/>
        <rFont val="微軟正黑體"/>
        <family val="2"/>
      </rPr>
      <t>陳元泰</t>
    </r>
  </si>
  <si>
    <r>
      <rPr>
        <sz val="14"/>
        <rFont val="微軟正黑體"/>
        <family val="2"/>
      </rPr>
      <t>劉凱銘</t>
    </r>
  </si>
  <si>
    <r>
      <rPr>
        <sz val="14"/>
        <rFont val="微軟正黑體"/>
        <family val="2"/>
      </rPr>
      <t>隨心</t>
    </r>
    <r>
      <rPr>
        <sz val="14"/>
        <rFont val="Calibri"/>
        <family val="2"/>
      </rPr>
      <t>96ers</t>
    </r>
  </si>
  <si>
    <r>
      <rPr>
        <sz val="14"/>
        <rFont val="微軟正黑體"/>
        <family val="2"/>
      </rPr>
      <t>張俊彥</t>
    </r>
  </si>
  <si>
    <r>
      <rPr>
        <sz val="14"/>
        <rFont val="微軟正黑體"/>
        <family val="2"/>
      </rPr>
      <t>譚錦鴻</t>
    </r>
  </si>
  <si>
    <r>
      <rPr>
        <sz val="14"/>
        <rFont val="微軟正黑體"/>
        <family val="2"/>
      </rPr>
      <t>隨心</t>
    </r>
    <r>
      <rPr>
        <sz val="14"/>
        <rFont val="Calibri"/>
        <family val="2"/>
      </rPr>
      <t xml:space="preserve"> 1</t>
    </r>
  </si>
  <si>
    <r>
      <rPr>
        <sz val="14"/>
        <rFont val="微軟正黑體"/>
        <family val="2"/>
      </rPr>
      <t>張淦邦</t>
    </r>
  </si>
  <si>
    <r>
      <rPr>
        <sz val="14"/>
        <rFont val="微軟正黑體"/>
        <family val="2"/>
      </rPr>
      <t>林敬淳</t>
    </r>
  </si>
  <si>
    <r>
      <rPr>
        <sz val="14"/>
        <rFont val="微軟正黑體"/>
        <family val="2"/>
      </rPr>
      <t>隨心</t>
    </r>
    <r>
      <rPr>
        <sz val="14"/>
        <rFont val="Calibri"/>
        <family val="2"/>
      </rPr>
      <t xml:space="preserve"> 2</t>
    </r>
  </si>
  <si>
    <r>
      <rPr>
        <sz val="14"/>
        <rFont val="微軟正黑體"/>
        <family val="2"/>
      </rPr>
      <t>林永豪</t>
    </r>
  </si>
  <si>
    <r>
      <rPr>
        <sz val="14"/>
        <rFont val="微軟正黑體"/>
        <family val="2"/>
      </rPr>
      <t>方武輝</t>
    </r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</si>
  <si>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男子乙組</t>
    </r>
    <r>
      <rPr>
        <b/>
        <sz val="18"/>
        <rFont val="Calibri"/>
        <family val="2"/>
      </rPr>
      <t>)</t>
    </r>
  </si>
  <si>
    <r>
      <rPr>
        <sz val="14"/>
        <rFont val="微軟正黑體"/>
        <family val="2"/>
      </rPr>
      <t>對賽隊</t>
    </r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</si>
  <si>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</si>
  <si>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</si>
  <si>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r>
      <rPr>
        <sz val="12"/>
        <rFont val="微軟正黑體"/>
        <family val="2"/>
      </rPr>
      <t>比賽序號</t>
    </r>
  </si>
  <si>
    <r>
      <rPr>
        <sz val="12"/>
        <rFont val="微軟正黑體"/>
        <family val="2"/>
      </rPr>
      <t>比賽場號</t>
    </r>
  </si>
  <si>
    <r>
      <rPr>
        <sz val="12"/>
        <rFont val="微軟正黑體"/>
        <family val="2"/>
      </rPr>
      <t>分組</t>
    </r>
  </si>
  <si>
    <r>
      <rPr>
        <sz val="12"/>
        <rFont val="微軟正黑體"/>
        <family val="2"/>
      </rPr>
      <t>對賽隊</t>
    </r>
  </si>
  <si>
    <r>
      <rPr>
        <sz val="12"/>
        <rFont val="微軟正黑體"/>
        <family val="2"/>
      </rPr>
      <t>賽事積分</t>
    </r>
  </si>
  <si>
    <r>
      <t>a.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Microsoft JhengHei"/>
        <family val="2"/>
      </rPr>
      <t>分組方法：</t>
    </r>
  </si>
  <si>
    <r>
      <rPr>
        <sz val="16"/>
        <rFont val="微軟正黑體"/>
        <family val="2"/>
      </rPr>
      <t>第一階段：小組單循環比賽</t>
    </r>
  </si>
  <si>
    <r>
      <t xml:space="preserve">Seeding List </t>
    </r>
    <r>
      <rPr>
        <sz val="18"/>
        <rFont val="Calibri"/>
        <family val="2"/>
      </rPr>
      <t>(table 2)</t>
    </r>
  </si>
  <si>
    <r>
      <rPr>
        <sz val="16"/>
        <color indexed="12"/>
        <rFont val="微軟正黑體"/>
        <family val="2"/>
      </rPr>
      <t>種子隊名單</t>
    </r>
    <r>
      <rPr>
        <sz val="16"/>
        <color indexed="12"/>
        <rFont val="Calibri"/>
        <family val="2"/>
      </rPr>
      <t>(</t>
    </r>
    <r>
      <rPr>
        <sz val="16"/>
        <color indexed="12"/>
        <rFont val="微軟正黑體"/>
        <family val="2"/>
      </rPr>
      <t>表二</t>
    </r>
    <r>
      <rPr>
        <sz val="16"/>
        <color indexed="12"/>
        <rFont val="Calibri"/>
        <family val="2"/>
      </rPr>
      <t>)</t>
    </r>
  </si>
  <si>
    <r>
      <rPr>
        <b/>
        <sz val="14"/>
        <color indexed="12"/>
        <rFont val="微軟正黑體"/>
        <family val="2"/>
      </rPr>
      <t>種子編號</t>
    </r>
  </si>
  <si>
    <r>
      <rPr>
        <b/>
        <sz val="14"/>
        <rFont val="微軟正黑體"/>
        <family val="2"/>
      </rPr>
      <t>積分</t>
    </r>
  </si>
  <si>
    <r>
      <rPr>
        <b/>
        <sz val="14"/>
        <rFont val="微軟正黑體"/>
        <family val="2"/>
      </rPr>
      <t>抽籤結果</t>
    </r>
  </si>
  <si>
    <r>
      <rPr>
        <b/>
        <sz val="14"/>
        <rFont val="微軟正黑體"/>
        <family val="2"/>
      </rPr>
      <t>隊名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</si>
  <si>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1</t>
    </r>
  </si>
  <si>
    <r>
      <rPr>
        <b/>
        <sz val="14"/>
        <rFont val="微軟正黑體"/>
        <family val="2"/>
      </rPr>
      <t>註冊編號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</si>
  <si>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2</t>
    </r>
  </si>
  <si>
    <r>
      <rPr>
        <b/>
        <sz val="14"/>
        <rFont val="微軟正黑體"/>
        <family val="2"/>
      </rPr>
      <t>備註</t>
    </r>
  </si>
  <si>
    <r>
      <rPr>
        <sz val="14"/>
        <rFont val="微軟正黑體"/>
        <family val="2"/>
      </rPr>
      <t>歐陽瑋欣</t>
    </r>
  </si>
  <si>
    <r>
      <rPr>
        <sz val="14"/>
        <rFont val="微軟正黑體"/>
        <family val="2"/>
      </rPr>
      <t>古蓉蓉</t>
    </r>
  </si>
  <si>
    <r>
      <rPr>
        <sz val="14"/>
        <rFont val="微軟正黑體"/>
        <family val="2"/>
      </rPr>
      <t>杜詠彤</t>
    </r>
  </si>
  <si>
    <r>
      <rPr>
        <sz val="14"/>
        <rFont val="微軟正黑體"/>
        <family val="2"/>
      </rPr>
      <t>江卓儀</t>
    </r>
  </si>
  <si>
    <r>
      <rPr>
        <sz val="14"/>
        <rFont val="微軟正黑體"/>
        <family val="2"/>
      </rPr>
      <t>盧慧茵</t>
    </r>
  </si>
  <si>
    <r>
      <rPr>
        <sz val="14"/>
        <rFont val="微軟正黑體"/>
        <family val="2"/>
      </rPr>
      <t>吳詠嵐</t>
    </r>
  </si>
  <si>
    <r>
      <rPr>
        <sz val="14"/>
        <rFont val="微軟正黑體"/>
        <family val="2"/>
      </rPr>
      <t>羚靖</t>
    </r>
  </si>
  <si>
    <r>
      <rPr>
        <sz val="14"/>
        <rFont val="微軟正黑體"/>
        <family val="2"/>
      </rPr>
      <t>黃雯靖</t>
    </r>
  </si>
  <si>
    <r>
      <rPr>
        <sz val="14"/>
        <rFont val="微軟正黑體"/>
        <family val="2"/>
      </rPr>
      <t>曾岳羚</t>
    </r>
  </si>
  <si>
    <r>
      <rPr>
        <sz val="14"/>
        <rFont val="微軟正黑體"/>
        <family val="2"/>
      </rPr>
      <t>張芳婷</t>
    </r>
  </si>
  <si>
    <r>
      <rPr>
        <sz val="14"/>
        <rFont val="微軟正黑體"/>
        <family val="2"/>
      </rPr>
      <t>梁倩橋</t>
    </r>
  </si>
  <si>
    <r>
      <rPr>
        <sz val="14"/>
        <rFont val="微軟正黑體"/>
        <family val="2"/>
      </rPr>
      <t>馮可盈</t>
    </r>
  </si>
  <si>
    <r>
      <rPr>
        <sz val="14"/>
        <rFont val="微軟正黑體"/>
        <family val="2"/>
      </rPr>
      <t>余凱婷</t>
    </r>
  </si>
  <si>
    <r>
      <rPr>
        <sz val="14"/>
        <rFont val="微軟正黑體"/>
        <family val="2"/>
      </rPr>
      <t>吳玥嬈</t>
    </r>
  </si>
  <si>
    <r>
      <t>KT-</t>
    </r>
    <r>
      <rPr>
        <sz val="14"/>
        <rFont val="微軟正黑體"/>
        <family val="2"/>
      </rPr>
      <t>細鼻的人</t>
    </r>
  </si>
  <si>
    <r>
      <rPr>
        <sz val="14"/>
        <rFont val="微軟正黑體"/>
        <family val="2"/>
      </rPr>
      <t>余藹殷</t>
    </r>
  </si>
  <si>
    <r>
      <rPr>
        <sz val="14"/>
        <rFont val="微軟正黑體"/>
        <family val="2"/>
      </rPr>
      <t>周彥琳</t>
    </r>
  </si>
  <si>
    <r>
      <rPr>
        <sz val="14"/>
        <rFont val="微軟正黑體"/>
        <family val="2"/>
      </rPr>
      <t>吳樂彤</t>
    </r>
  </si>
  <si>
    <r>
      <rPr>
        <sz val="14"/>
        <rFont val="微軟正黑體"/>
        <family val="2"/>
      </rPr>
      <t>黎寶儀</t>
    </r>
  </si>
  <si>
    <r>
      <rPr>
        <sz val="14"/>
        <rFont val="微軟正黑體"/>
        <family val="2"/>
      </rPr>
      <t>駱純</t>
    </r>
  </si>
  <si>
    <r>
      <rPr>
        <sz val="14"/>
        <rFont val="微軟正黑體"/>
        <family val="2"/>
      </rPr>
      <t>袁廷芝</t>
    </r>
  </si>
  <si>
    <r>
      <rPr>
        <sz val="14"/>
        <rFont val="微軟正黑體"/>
        <family val="2"/>
      </rPr>
      <t>楊紫霞</t>
    </r>
  </si>
  <si>
    <r>
      <rPr>
        <sz val="14"/>
        <rFont val="微軟正黑體"/>
        <family val="2"/>
      </rPr>
      <t>陳秋穎</t>
    </r>
  </si>
  <si>
    <r>
      <rPr>
        <sz val="14"/>
        <rFont val="微軟正黑體"/>
        <family val="2"/>
      </rPr>
      <t>林穎哲</t>
    </r>
  </si>
  <si>
    <r>
      <rPr>
        <sz val="14"/>
        <rFont val="微軟正黑體"/>
        <family val="2"/>
      </rPr>
      <t>劉錦玉</t>
    </r>
  </si>
  <si>
    <r>
      <rPr>
        <sz val="14"/>
        <rFont val="微軟正黑體"/>
        <family val="2"/>
      </rPr>
      <t>下手</t>
    </r>
  </si>
  <si>
    <r>
      <rPr>
        <sz val="14"/>
        <rFont val="微軟正黑體"/>
        <family val="2"/>
      </rPr>
      <t>趙穎琪</t>
    </r>
  </si>
  <si>
    <r>
      <rPr>
        <sz val="14"/>
        <rFont val="微軟正黑體"/>
        <family val="2"/>
      </rPr>
      <t>林慧賢</t>
    </r>
  </si>
  <si>
    <r>
      <rPr>
        <sz val="14"/>
        <rFont val="微軟正黑體"/>
        <family val="2"/>
      </rPr>
      <t>葵青</t>
    </r>
    <r>
      <rPr>
        <sz val="14"/>
        <rFont val="Calibri"/>
        <family val="2"/>
      </rPr>
      <t>-</t>
    </r>
    <r>
      <rPr>
        <sz val="14"/>
        <rFont val="微軟正黑體"/>
        <family val="2"/>
      </rPr>
      <t>啫喱冰冰</t>
    </r>
  </si>
  <si>
    <r>
      <rPr>
        <sz val="14"/>
        <rFont val="微軟正黑體"/>
        <family val="2"/>
      </rPr>
      <t>何慧恩</t>
    </r>
  </si>
  <si>
    <r>
      <rPr>
        <sz val="14"/>
        <rFont val="微軟正黑體"/>
        <family val="2"/>
      </rPr>
      <t>周影楣</t>
    </r>
  </si>
  <si>
    <r>
      <rPr>
        <sz val="14"/>
        <rFont val="微軟正黑體"/>
        <family val="2"/>
      </rPr>
      <t>周祖因</t>
    </r>
  </si>
  <si>
    <r>
      <rPr>
        <sz val="14"/>
        <rFont val="微軟正黑體"/>
        <family val="2"/>
      </rPr>
      <t>林詩敏</t>
    </r>
  </si>
  <si>
    <r>
      <rPr>
        <sz val="14"/>
        <rFont val="微軟正黑體"/>
        <family val="2"/>
      </rPr>
      <t>筱瑩</t>
    </r>
  </si>
  <si>
    <r>
      <rPr>
        <sz val="14"/>
        <rFont val="微軟正黑體"/>
        <family val="2"/>
      </rPr>
      <t>陳筱琳</t>
    </r>
  </si>
  <si>
    <r>
      <rPr>
        <sz val="14"/>
        <rFont val="微軟正黑體"/>
        <family val="2"/>
      </rPr>
      <t>馬曉瑩</t>
    </r>
  </si>
  <si>
    <r>
      <rPr>
        <sz val="14"/>
        <rFont val="微軟正黑體"/>
        <family val="2"/>
      </rPr>
      <t>鄧靜敏</t>
    </r>
  </si>
  <si>
    <r>
      <rPr>
        <sz val="14"/>
        <rFont val="微軟正黑體"/>
        <family val="2"/>
      </rPr>
      <t>單麗珠</t>
    </r>
  </si>
  <si>
    <r>
      <rPr>
        <sz val="14"/>
        <rFont val="微軟正黑體"/>
        <family val="2"/>
      </rPr>
      <t>黃婉媚</t>
    </r>
  </si>
  <si>
    <r>
      <rPr>
        <sz val="14"/>
        <rFont val="微軟正黑體"/>
        <family val="2"/>
      </rPr>
      <t>毛凱茵</t>
    </r>
  </si>
  <si>
    <r>
      <rPr>
        <sz val="14"/>
        <rFont val="微軟正黑體"/>
        <family val="2"/>
      </rPr>
      <t>任頌欣</t>
    </r>
  </si>
  <si>
    <r>
      <rPr>
        <sz val="14"/>
        <rFont val="微軟正黑體"/>
        <family val="2"/>
      </rPr>
      <t>劉天慧</t>
    </r>
  </si>
  <si>
    <r>
      <rPr>
        <sz val="14"/>
        <rFont val="微軟正黑體"/>
        <family val="2"/>
      </rPr>
      <t>麥穎恩</t>
    </r>
  </si>
  <si>
    <r>
      <rPr>
        <sz val="14"/>
        <rFont val="微軟正黑體"/>
        <family val="2"/>
      </rPr>
      <t>黃雪怡</t>
    </r>
  </si>
  <si>
    <r>
      <rPr>
        <sz val="14"/>
        <rFont val="微軟正黑體"/>
        <family val="2"/>
      </rPr>
      <t>求奇</t>
    </r>
  </si>
  <si>
    <r>
      <rPr>
        <sz val="14"/>
        <rFont val="微軟正黑體"/>
        <family val="2"/>
      </rPr>
      <t>黃詠雪</t>
    </r>
  </si>
  <si>
    <r>
      <rPr>
        <sz val="14"/>
        <rFont val="微軟正黑體"/>
        <family val="2"/>
      </rPr>
      <t>吳希瑜</t>
    </r>
  </si>
  <si>
    <r>
      <rPr>
        <sz val="12"/>
        <rFont val="微軟正黑體"/>
        <family val="2"/>
      </rPr>
      <t>勝出隊伍</t>
    </r>
  </si>
  <si>
    <r>
      <t>QT1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D4</t>
    </r>
  </si>
  <si>
    <r>
      <t>QT2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E4</t>
    </r>
  </si>
  <si>
    <r>
      <t>QT3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F4</t>
    </r>
  </si>
  <si>
    <r>
      <t>QT4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G4</t>
    </r>
  </si>
  <si>
    <r>
      <t>QT5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H4</t>
    </r>
  </si>
  <si>
    <t>C2</t>
  </si>
  <si>
    <t>D2</t>
  </si>
  <si>
    <t>A3</t>
  </si>
  <si>
    <t>B3</t>
  </si>
  <si>
    <t>E3</t>
  </si>
  <si>
    <t>F3</t>
  </si>
  <si>
    <t>G3</t>
  </si>
  <si>
    <t>H3</t>
  </si>
  <si>
    <t>H4</t>
  </si>
  <si>
    <t>G4</t>
  </si>
  <si>
    <t>F4</t>
  </si>
  <si>
    <t>E4</t>
  </si>
  <si>
    <t>D4</t>
  </si>
  <si>
    <t>C4</t>
  </si>
  <si>
    <t>B4</t>
  </si>
  <si>
    <t>Starting Time</t>
  </si>
  <si>
    <r>
      <t xml:space="preserve">COURT </t>
    </r>
    <r>
      <rPr>
        <sz val="12"/>
        <rFont val="Microsoft JhengHei"/>
        <family val="2"/>
      </rPr>
      <t>球場</t>
    </r>
    <r>
      <rPr>
        <sz val="12"/>
        <rFont val="新細明體"/>
        <family val="1"/>
      </rPr>
      <t xml:space="preserve"> </t>
    </r>
    <r>
      <rPr>
        <sz val="12"/>
        <rFont val="Microsoft JhengHei UI"/>
        <family val="2"/>
      </rPr>
      <t>屯門新咖啡灣泳灘</t>
    </r>
  </si>
  <si>
    <t>23:21, 21:12</t>
  </si>
  <si>
    <t>24:22, 21:9</t>
  </si>
  <si>
    <t>24:22, 21:17</t>
  </si>
  <si>
    <t>21:19, 21:14</t>
  </si>
  <si>
    <t>17:21, 19:21</t>
  </si>
  <si>
    <t>21:15, 21:12</t>
  </si>
  <si>
    <t>DR CHAN</t>
  </si>
  <si>
    <t>21:13, 21:19</t>
  </si>
  <si>
    <t>16:21, 18:21</t>
  </si>
  <si>
    <t>21:18, 21:14</t>
  </si>
  <si>
    <t>19:21, 21:9, 16:14</t>
  </si>
  <si>
    <t>21:17, 21:17</t>
  </si>
  <si>
    <t>Draw 1 ＝ SEED#9 – SEED#12</t>
  </si>
  <si>
    <t>Draw 2 ＝ SEED#13 – SEED#16</t>
  </si>
  <si>
    <t>Draw 3 ＝ SEED#17 – SEED#24</t>
  </si>
  <si>
    <t xml:space="preserve">Draw 4 ＝ SEED#25 – SEED#32 </t>
  </si>
  <si>
    <r>
      <t>I.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Calibri"/>
        <family val="2"/>
      </rPr>
      <t>男子甲組：</t>
    </r>
  </si>
  <si>
    <r>
      <t>a.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Calibri"/>
        <family val="2"/>
      </rPr>
      <t>分組方法：</t>
    </r>
  </si>
  <si>
    <r>
      <t>i、</t>
    </r>
    <r>
      <rPr>
        <sz val="7"/>
        <color indexed="8"/>
        <rFont val="Calibri"/>
        <family val="2"/>
      </rPr>
      <t xml:space="preserve">                        </t>
    </r>
    <r>
      <rPr>
        <sz val="12"/>
        <color indexed="8"/>
        <rFont val="Calibri"/>
        <family val="2"/>
      </rPr>
      <t>以種子分（SEEDING POINT）排列種子隊。</t>
    </r>
  </si>
  <si>
    <r>
      <t>ii、</t>
    </r>
    <r>
      <rPr>
        <sz val="7"/>
        <color indexed="8"/>
        <rFont val="Calibri"/>
        <family val="2"/>
      </rPr>
      <t xml:space="preserve">                    </t>
    </r>
    <r>
      <rPr>
        <sz val="12"/>
        <color indexed="8"/>
        <rFont val="Calibri"/>
        <family val="2"/>
      </rPr>
      <t>第1至第8種子依次編入A,B組。</t>
    </r>
  </si>
  <si>
    <r>
      <t>iii、</t>
    </r>
    <r>
      <rPr>
        <sz val="7"/>
        <color indexed="8"/>
        <rFont val="Calibri"/>
        <family val="2"/>
      </rPr>
      <t xml:space="preserve">                </t>
    </r>
    <r>
      <rPr>
        <sz val="12"/>
        <color indexed="8"/>
        <rFont val="Calibri"/>
        <family val="2"/>
      </rPr>
      <t>其餘隊伍如下抽簽分配於各組內。</t>
    </r>
  </si>
  <si>
    <r>
      <t xml:space="preserve">                    </t>
    </r>
    <r>
      <rPr>
        <sz val="12"/>
        <color indexed="8"/>
        <rFont val="Calibri"/>
        <family val="2"/>
      </rPr>
      <t>小組單循環比賽中得分由高至低依次排名次。小組首次名晉身決賽。</t>
    </r>
  </si>
  <si>
    <r>
      <t xml:space="preserve">                </t>
    </r>
    <r>
      <rPr>
        <sz val="12"/>
        <color indexed="8"/>
        <rFont val="Calibri"/>
        <family val="2"/>
      </rPr>
      <t>第三名為名次5得96種子分；第四名為名次7得84種子分。</t>
    </r>
  </si>
  <si>
    <r>
      <t>2、</t>
    </r>
    <r>
      <rPr>
        <sz val="7"/>
        <color indexed="8"/>
        <rFont val="Calibri"/>
        <family val="2"/>
      </rPr>
      <t xml:space="preserve">                       </t>
    </r>
    <r>
      <rPr>
        <sz val="12"/>
        <color indexed="8"/>
        <rFont val="Calibri"/>
        <family val="2"/>
      </rPr>
      <t>小組首次名交叉對賽,勝者進行冠軍賽,負者進行季軍賽；</t>
    </r>
  </si>
  <si>
    <t>21:9, 21:9</t>
  </si>
  <si>
    <t>賽程表 (女子甲組)</t>
  </si>
  <si>
    <t>20CM NO SHOW</t>
  </si>
  <si>
    <t>23:25, 21:18, 15:11</t>
  </si>
  <si>
    <t>21:7, 21:14</t>
  </si>
  <si>
    <t>羚靖</t>
  </si>
  <si>
    <t>KT-細鼻的人</t>
  </si>
  <si>
    <t>21:17, 21:7</t>
  </si>
  <si>
    <t>21:12, 21:8</t>
  </si>
  <si>
    <t>21:7, 21:8</t>
  </si>
  <si>
    <t>21:16, 21:11</t>
  </si>
  <si>
    <t>16:21, 13:21</t>
  </si>
  <si>
    <t>22:20, 21:14</t>
  </si>
  <si>
    <r>
      <rPr>
        <b/>
        <sz val="18"/>
        <rFont val="Microsoft JhengHei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Microsoft JhengHei"/>
        <family val="2"/>
      </rPr>
      <t>女子乙組</t>
    </r>
    <r>
      <rPr>
        <b/>
        <sz val="18"/>
        <rFont val="Calibri"/>
        <family val="2"/>
      </rPr>
      <t>)</t>
    </r>
  </si>
  <si>
    <r>
      <rPr>
        <sz val="14"/>
        <rFont val="Microsoft JhengHei"/>
        <family val="2"/>
      </rPr>
      <t>對賽隊</t>
    </r>
  </si>
  <si>
    <r>
      <rPr>
        <sz val="12"/>
        <rFont val="Microsoft JhengHei"/>
        <family val="2"/>
      </rPr>
      <t>局數</t>
    </r>
  </si>
  <si>
    <r>
      <rPr>
        <sz val="12"/>
        <rFont val="Microsoft JhengHei"/>
        <family val="2"/>
      </rPr>
      <t>分數</t>
    </r>
  </si>
  <si>
    <r>
      <rPr>
        <sz val="12"/>
        <rFont val="Microsoft JhengHei"/>
        <family val="2"/>
      </rPr>
      <t>比賽序號</t>
    </r>
  </si>
  <si>
    <r>
      <rPr>
        <sz val="12"/>
        <rFont val="Microsoft JhengHei"/>
        <family val="2"/>
      </rPr>
      <t>比賽場號</t>
    </r>
  </si>
  <si>
    <r>
      <rPr>
        <sz val="12"/>
        <rFont val="Microsoft JhengHei"/>
        <family val="2"/>
      </rPr>
      <t>分組</t>
    </r>
  </si>
  <si>
    <r>
      <rPr>
        <sz val="12"/>
        <rFont val="Microsoft JhengHei"/>
        <family val="2"/>
      </rPr>
      <t>對賽隊</t>
    </r>
  </si>
  <si>
    <t>14:21, 21:16, 15:11</t>
  </si>
  <si>
    <t>21:14, 21:17</t>
  </si>
  <si>
    <t>23:21, 21:17</t>
  </si>
  <si>
    <t>19:21, 21:11, 15:9</t>
  </si>
  <si>
    <t>21:14, 21:14</t>
  </si>
  <si>
    <t>MS YY</t>
  </si>
  <si>
    <t>求奇</t>
  </si>
  <si>
    <t>Acti-tape withdraw due to injury</t>
  </si>
  <si>
    <t>7:21, 7:21</t>
  </si>
  <si>
    <t>15:21, 21:15, 13:15</t>
  </si>
  <si>
    <t>.</t>
  </si>
  <si>
    <t>20:22, 19:21</t>
  </si>
  <si>
    <t>18:21, 13:21</t>
  </si>
  <si>
    <t>16:21, 21:16, 16:18</t>
  </si>
  <si>
    <t>21:10, 12:21, 15:12</t>
  </si>
  <si>
    <t>15:21, 21:18, 9:15</t>
  </si>
  <si>
    <t>21:18, 21:18</t>
  </si>
  <si>
    <t>21:19, 21:19</t>
  </si>
  <si>
    <t>21:6, 21:9</t>
  </si>
  <si>
    <t>20:22, 17:21</t>
  </si>
  <si>
    <t>21:10, 21:14</t>
  </si>
  <si>
    <t>A</t>
  </si>
  <si>
    <t>B</t>
  </si>
  <si>
    <t>D</t>
  </si>
  <si>
    <t>C</t>
  </si>
  <si>
    <t>E</t>
  </si>
  <si>
    <t>F</t>
  </si>
  <si>
    <t>G</t>
  </si>
  <si>
    <t>H</t>
  </si>
  <si>
    <t>2019/03/02 (Saturday 星期六)</t>
  </si>
  <si>
    <t>2019/03/03 (Sunday 星期日)</t>
  </si>
  <si>
    <t>2019/3/09 (Saturday 星期六)</t>
  </si>
  <si>
    <t>2019/03/10 (Sunday 星期日)</t>
  </si>
  <si>
    <t>2019/3/16 (Saturday 星期六)</t>
  </si>
  <si>
    <t>2019/03/17 (Sunday 星期日)</t>
  </si>
  <si>
    <t>2019/03/23 (Saturday 星期六)</t>
  </si>
  <si>
    <t>2019/03/24 (Sunday 星期日)</t>
  </si>
  <si>
    <t>2019/03/30 (Saturday 星期六)</t>
  </si>
  <si>
    <t>2019/03/31 (Sunday 星期日)</t>
  </si>
  <si>
    <t>2019/04/06 (Saturday 星期六)</t>
  </si>
  <si>
    <t>2019/04/07 (Sunday 星期日)</t>
  </si>
  <si>
    <t>2019/04/13 (Saturday 星期六)</t>
  </si>
  <si>
    <t>2019/04/14 (Sunday 星期日)</t>
  </si>
  <si>
    <t>GG NO SHOW</t>
  </si>
  <si>
    <t>5:21, 8:21</t>
  </si>
  <si>
    <t>YMYM</t>
  </si>
  <si>
    <t>The Passionate Miami</t>
  </si>
  <si>
    <t>GG</t>
  </si>
  <si>
    <r>
      <t>H</t>
    </r>
    <r>
      <rPr>
        <sz val="12"/>
        <rFont val="Calibri"/>
        <family val="2"/>
      </rPr>
      <t>ELLO NO SHOW</t>
    </r>
  </si>
  <si>
    <r>
      <rPr>
        <sz val="12"/>
        <rFont val="細明體"/>
        <family val="3"/>
      </rPr>
      <t>過哂氣</t>
    </r>
    <r>
      <rPr>
        <sz val="12"/>
        <rFont val="Calibri"/>
        <family val="2"/>
      </rPr>
      <t xml:space="preserve"> NO SHOW</t>
    </r>
  </si>
  <si>
    <r>
      <t>B</t>
    </r>
    <r>
      <rPr>
        <sz val="12"/>
        <rFont val="Calibri"/>
        <family val="2"/>
      </rPr>
      <t>OTH TEMAS NO SHOW</t>
    </r>
  </si>
  <si>
    <r>
      <t>2</t>
    </r>
    <r>
      <rPr>
        <sz val="12"/>
        <rFont val="Calibri"/>
        <family val="2"/>
      </rPr>
      <t>0:22, 21:14, 15:9</t>
    </r>
  </si>
  <si>
    <r>
      <t>1</t>
    </r>
    <r>
      <rPr>
        <sz val="12"/>
        <rFont val="Calibri"/>
        <family val="2"/>
      </rPr>
      <t>987.5 NO SHOW</t>
    </r>
  </si>
  <si>
    <r>
      <t>2</t>
    </r>
    <r>
      <rPr>
        <sz val="12"/>
        <rFont val="Calibri"/>
        <family val="2"/>
      </rPr>
      <t>1:10, 21:11</t>
    </r>
  </si>
  <si>
    <r>
      <t>A</t>
    </r>
    <r>
      <rPr>
        <sz val="12"/>
        <rFont val="Calibri"/>
        <family val="2"/>
      </rPr>
      <t>LPS-TW</t>
    </r>
  </si>
  <si>
    <t>柏陞</t>
  </si>
  <si>
    <r>
      <t>B</t>
    </r>
    <r>
      <rPr>
        <sz val="12"/>
        <rFont val="Calibri"/>
        <family val="2"/>
      </rPr>
      <t>nW</t>
    </r>
  </si>
  <si>
    <r>
      <rPr>
        <sz val="12"/>
        <rFont val="細明體"/>
        <family val="3"/>
      </rPr>
      <t>霖完未</t>
    </r>
    <r>
      <rPr>
        <sz val="12"/>
        <rFont val="Calibri"/>
        <family val="2"/>
      </rPr>
      <t>JACK</t>
    </r>
  </si>
  <si>
    <t>過哂氣</t>
  </si>
  <si>
    <r>
      <t>H</t>
    </r>
    <r>
      <rPr>
        <sz val="12"/>
        <rFont val="Calibri"/>
        <family val="2"/>
      </rPr>
      <t>ELLO</t>
    </r>
  </si>
  <si>
    <r>
      <rPr>
        <sz val="12"/>
        <rFont val="細明體"/>
        <family val="3"/>
      </rPr>
      <t>隨心</t>
    </r>
    <r>
      <rPr>
        <sz val="12"/>
        <rFont val="Calibri"/>
        <family val="2"/>
      </rPr>
      <t xml:space="preserve"> 1 NO SHOW</t>
    </r>
  </si>
  <si>
    <r>
      <t>W</t>
    </r>
    <r>
      <rPr>
        <sz val="12"/>
        <rFont val="Calibri"/>
        <family val="2"/>
      </rPr>
      <t>M NO SHOW</t>
    </r>
  </si>
  <si>
    <r>
      <t>S</t>
    </r>
    <r>
      <rPr>
        <sz val="12"/>
        <rFont val="Calibri"/>
        <family val="2"/>
      </rPr>
      <t>CAA YA</t>
    </r>
  </si>
  <si>
    <t>我叫你</t>
  </si>
  <si>
    <r>
      <t>W</t>
    </r>
    <r>
      <rPr>
        <sz val="12"/>
        <rFont val="Calibri"/>
        <family val="2"/>
      </rPr>
      <t>M</t>
    </r>
  </si>
  <si>
    <r>
      <t>2</t>
    </r>
    <r>
      <rPr>
        <sz val="12"/>
        <rFont val="Calibri"/>
        <family val="2"/>
      </rPr>
      <t>1:18, 21:3</t>
    </r>
  </si>
  <si>
    <r>
      <t>2</t>
    </r>
    <r>
      <rPr>
        <sz val="12"/>
        <rFont val="Calibri"/>
        <family val="2"/>
      </rPr>
      <t>1:13, 21:14</t>
    </r>
  </si>
  <si>
    <r>
      <t>Z</t>
    </r>
    <r>
      <rPr>
        <sz val="12"/>
        <rFont val="Calibri"/>
        <family val="2"/>
      </rPr>
      <t>latan</t>
    </r>
  </si>
  <si>
    <t>熱情的麻鷹</t>
  </si>
  <si>
    <t>早餐專家</t>
  </si>
  <si>
    <r>
      <t>2</t>
    </r>
    <r>
      <rPr>
        <sz val="12"/>
        <rFont val="Calibri"/>
        <family val="2"/>
      </rPr>
      <t>1:2, 21:8</t>
    </r>
  </si>
  <si>
    <r>
      <t>18:21,</t>
    </r>
    <r>
      <rPr>
        <sz val="12"/>
        <rFont val="Calibri"/>
        <family val="2"/>
      </rPr>
      <t xml:space="preserve"> 22:20, 15:8</t>
    </r>
  </si>
  <si>
    <r>
      <t>21:17,</t>
    </r>
    <r>
      <rPr>
        <sz val="12"/>
        <rFont val="Calibri"/>
        <family val="2"/>
      </rPr>
      <t xml:space="preserve"> 21:15</t>
    </r>
  </si>
  <si>
    <r>
      <t>21:6,</t>
    </r>
    <r>
      <rPr>
        <sz val="12"/>
        <rFont val="Calibri"/>
        <family val="2"/>
      </rPr>
      <t xml:space="preserve"> 21:13</t>
    </r>
  </si>
  <si>
    <r>
      <t>21:12,</t>
    </r>
    <r>
      <rPr>
        <sz val="12"/>
        <rFont val="Calibri"/>
        <family val="2"/>
      </rPr>
      <t xml:space="preserve"> 21:16</t>
    </r>
  </si>
  <si>
    <t>傻烽</t>
  </si>
  <si>
    <r>
      <t>S</t>
    </r>
    <r>
      <rPr>
        <sz val="12"/>
        <rFont val="Calibri"/>
        <family val="2"/>
      </rPr>
      <t>KTL</t>
    </r>
  </si>
  <si>
    <t>一般貨色</t>
  </si>
  <si>
    <t>SCAA K&amp;L</t>
  </si>
  <si>
    <t>24:26, 21:19, 15:10</t>
  </si>
  <si>
    <t>21:7, 21:10</t>
  </si>
  <si>
    <t>21:11, 21:11</t>
  </si>
  <si>
    <t>葵青-啫喱冰冰 NO SHOW</t>
  </si>
  <si>
    <t>Blue team NO SHOW</t>
  </si>
  <si>
    <t>21:6, 21:17</t>
  </si>
  <si>
    <t>筱瑩</t>
  </si>
  <si>
    <t>葵青-啫喱冰冰</t>
  </si>
  <si>
    <t>下手</t>
  </si>
  <si>
    <t>18:21, 21:16, 15:12</t>
  </si>
  <si>
    <t>21:19, 21:18</t>
  </si>
  <si>
    <t>後生仔 NO SHOW</t>
  </si>
  <si>
    <t>米奇與勁大隻傑</t>
  </si>
  <si>
    <t>後生仔</t>
  </si>
  <si>
    <t>呀哈</t>
  </si>
  <si>
    <t>SCAA-99 NO SHOW</t>
  </si>
  <si>
    <t>21:18, 24:22</t>
  </si>
  <si>
    <t>21:13, 21:12</t>
  </si>
  <si>
    <t>20:22, 14:21</t>
  </si>
  <si>
    <t>紅藍</t>
  </si>
  <si>
    <t>肇青二隊</t>
  </si>
  <si>
    <t>肇青一隊</t>
  </si>
  <si>
    <t>12:21, 9:21</t>
  </si>
  <si>
    <t>21:11, 21:10</t>
  </si>
  <si>
    <t>7:21, 10:21</t>
  </si>
  <si>
    <t>21:13, 21:13</t>
  </si>
  <si>
    <t>21:18, 21:18</t>
  </si>
  <si>
    <t>15:21, 13:21</t>
  </si>
  <si>
    <t>Alps琨</t>
  </si>
  <si>
    <t>隨心 2</t>
  </si>
  <si>
    <t>隨心96ers</t>
  </si>
  <si>
    <t>撈碧鵰</t>
  </si>
  <si>
    <t>賽事積分</t>
  </si>
  <si>
    <t>球員積分</t>
  </si>
  <si>
    <t>隨心 1</t>
  </si>
  <si>
    <t>肇青三隊</t>
  </si>
  <si>
    <t>The Passionate Miami NO SHOW</t>
  </si>
  <si>
    <t>18:21, 9:21</t>
  </si>
  <si>
    <t>21:17, 18:21, 19:17</t>
  </si>
  <si>
    <t>I&amp;O NO SHOW</t>
  </si>
  <si>
    <t>21:12, 21:12</t>
  </si>
  <si>
    <t>21:16, 16:12, 15:5</t>
  </si>
  <si>
    <t>21:14, 21:19</t>
  </si>
  <si>
    <t>我叫你 NO SHOW</t>
  </si>
  <si>
    <t>19:21, 21:18, 15:10</t>
  </si>
  <si>
    <t>14:21, 7:21</t>
  </si>
  <si>
    <t>隨心 2 NO SHOW</t>
  </si>
  <si>
    <t>18:21, 16:21</t>
  </si>
  <si>
    <t>54 pts</t>
  </si>
  <si>
    <t>21:10, 21:9</t>
  </si>
  <si>
    <t>10:21, 21:18, 9:15</t>
  </si>
  <si>
    <t>20:22, 21:15, 15:12</t>
  </si>
  <si>
    <t>21:19, 14:21, 15:13</t>
  </si>
  <si>
    <t>21:18, 21:16</t>
  </si>
  <si>
    <t>21:16, 21:0</t>
  </si>
  <si>
    <t>Zlatan withdraw due to player's injury</t>
  </si>
  <si>
    <t>0:21, 0:21</t>
  </si>
  <si>
    <t>SCAA YA NO SHOW</t>
  </si>
  <si>
    <t>17:21, 9:21</t>
  </si>
  <si>
    <t>14:21, 12:21</t>
  </si>
  <si>
    <t>SKTL NO SHOW</t>
  </si>
  <si>
    <r>
      <t xml:space="preserve">2019/04/20 (Saturday </t>
    </r>
    <r>
      <rPr>
        <b/>
        <u val="single"/>
        <sz val="12"/>
        <rFont val="細明體"/>
        <family val="3"/>
      </rPr>
      <t>星期六</t>
    </r>
    <r>
      <rPr>
        <b/>
        <u val="single"/>
        <sz val="12"/>
        <rFont val="Calibri"/>
        <family val="2"/>
      </rPr>
      <t>) (</t>
    </r>
    <r>
      <rPr>
        <b/>
        <u val="single"/>
        <sz val="12"/>
        <rFont val="細明體"/>
        <family val="3"/>
      </rPr>
      <t>補賽</t>
    </r>
    <r>
      <rPr>
        <b/>
        <u val="single"/>
        <sz val="12"/>
        <rFont val="Calibri"/>
        <family val="2"/>
      </rPr>
      <t>)</t>
    </r>
  </si>
  <si>
    <r>
      <t xml:space="preserve">2019/05/05 (Sunday </t>
    </r>
    <r>
      <rPr>
        <b/>
        <u val="single"/>
        <sz val="12"/>
        <rFont val="細明體"/>
        <family val="3"/>
      </rPr>
      <t>星期日</t>
    </r>
    <r>
      <rPr>
        <b/>
        <u val="single"/>
        <sz val="12"/>
        <rFont val="Calibri"/>
        <family val="2"/>
      </rPr>
      <t>) (</t>
    </r>
    <r>
      <rPr>
        <b/>
        <u val="single"/>
        <sz val="12"/>
        <rFont val="細明體"/>
        <family val="3"/>
      </rPr>
      <t>補賽</t>
    </r>
    <r>
      <rPr>
        <b/>
        <u val="single"/>
        <sz val="12"/>
        <rFont val="Calibri"/>
        <family val="2"/>
      </rPr>
      <t>)</t>
    </r>
  </si>
  <si>
    <t>21:17, 21:19</t>
  </si>
  <si>
    <t>21:15, 18:21, 15:8</t>
  </si>
  <si>
    <t>22:24, 21:19, 15:13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</si>
</sst>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/m;@"/>
  </numFmts>
  <fonts count="149"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20"/>
      <name val="Microsoft JhengHei"/>
      <family val="2"/>
    </font>
    <font>
      <b/>
      <sz val="20"/>
      <name val="Calibri"/>
      <family val="2"/>
    </font>
    <font>
      <b/>
      <sz val="24"/>
      <name val="Microsoft JhengHei"/>
      <family val="2"/>
    </font>
    <font>
      <b/>
      <sz val="11"/>
      <name val="Microsoft JhengHei"/>
      <family val="2"/>
    </font>
    <font>
      <sz val="11"/>
      <name val="Microsoft JhengHei"/>
      <family val="2"/>
    </font>
    <font>
      <sz val="11"/>
      <name val="Calibri"/>
      <family val="2"/>
    </font>
    <font>
      <b/>
      <sz val="11"/>
      <name val="新細明體"/>
      <family val="1"/>
    </font>
    <font>
      <sz val="11"/>
      <name val="新細明體"/>
      <family val="1"/>
    </font>
    <font>
      <b/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6"/>
      <name val="新細明體"/>
      <family val="1"/>
    </font>
    <font>
      <sz val="16"/>
      <name val="Microsoft JhengHei"/>
      <family val="2"/>
    </font>
    <font>
      <sz val="16"/>
      <name val="新細明體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新細明體"/>
      <family val="1"/>
    </font>
    <font>
      <sz val="16"/>
      <color indexed="12"/>
      <name val="Microsoft JhengHei"/>
      <family val="2"/>
    </font>
    <font>
      <sz val="16"/>
      <color indexed="12"/>
      <name val="Calibri"/>
      <family val="2"/>
    </font>
    <font>
      <sz val="16"/>
      <color indexed="10"/>
      <name val="新細明體"/>
      <family val="1"/>
    </font>
    <font>
      <b/>
      <sz val="14"/>
      <color indexed="12"/>
      <name val="Microsoft JhengHei"/>
      <family val="2"/>
    </font>
    <font>
      <b/>
      <sz val="14"/>
      <name val="Calibri"/>
      <family val="2"/>
    </font>
    <font>
      <b/>
      <sz val="14"/>
      <name val="新細明體"/>
      <family val="1"/>
    </font>
    <font>
      <sz val="14"/>
      <color indexed="48"/>
      <name val="Calibri"/>
      <family val="2"/>
    </font>
    <font>
      <b/>
      <sz val="14"/>
      <name val="Microsoft JhengHei"/>
      <family val="2"/>
    </font>
    <font>
      <sz val="14"/>
      <name val="新細明體"/>
      <family val="1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name val="Microsoft JhengHe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新細明體"/>
      <family val="1"/>
    </font>
    <font>
      <sz val="7"/>
      <color indexed="8"/>
      <name val="Calibri"/>
      <family val="2"/>
    </font>
    <font>
      <sz val="12"/>
      <color indexed="8"/>
      <name val="Microsoft JhengHei"/>
      <family val="2"/>
    </font>
    <font>
      <sz val="7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2"/>
      <name val="新細明體"/>
      <family val="1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8"/>
      <color indexed="8"/>
      <name val="新細明體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新細明體"/>
      <family val="1"/>
    </font>
    <font>
      <sz val="10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b/>
      <sz val="18"/>
      <color indexed="8"/>
      <name val="Calibri"/>
      <family val="2"/>
    </font>
    <font>
      <u val="single"/>
      <sz val="16"/>
      <name val="新細明體"/>
      <family val="1"/>
    </font>
    <font>
      <b/>
      <sz val="18"/>
      <name val="Microsoft JhengHei"/>
      <family val="2"/>
    </font>
    <font>
      <b/>
      <i/>
      <sz val="12"/>
      <name val="新細明體"/>
      <family val="1"/>
    </font>
    <font>
      <sz val="12"/>
      <name val="Microsoft JhengHei"/>
      <family val="2"/>
    </font>
    <font>
      <sz val="7"/>
      <name val="新細明體"/>
      <family val="1"/>
    </font>
    <font>
      <sz val="12"/>
      <color indexed="12"/>
      <name val="新細明體"/>
      <family val="1"/>
    </font>
    <font>
      <sz val="12"/>
      <color indexed="12"/>
      <name val="Calibri"/>
      <family val="2"/>
    </font>
    <font>
      <b/>
      <i/>
      <u val="single"/>
      <sz val="10"/>
      <color indexed="8"/>
      <name val="新細明體"/>
      <family val="1"/>
    </font>
    <font>
      <b/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8"/>
      <color indexed="8"/>
      <name val="新細明體"/>
      <family val="1"/>
    </font>
    <font>
      <b/>
      <sz val="10"/>
      <color indexed="8"/>
      <name val="新細明體"/>
      <family val="1"/>
    </font>
    <font>
      <b/>
      <i/>
      <u val="single"/>
      <sz val="8"/>
      <color indexed="8"/>
      <name val="新細明體"/>
      <family val="1"/>
    </font>
    <font>
      <sz val="18"/>
      <color indexed="8"/>
      <name val="新細明體"/>
      <family val="1"/>
    </font>
    <font>
      <b/>
      <sz val="14"/>
      <color indexed="8"/>
      <name val="新細明體"/>
      <family val="1"/>
    </font>
    <font>
      <u val="single"/>
      <sz val="8"/>
      <color indexed="8"/>
      <name val="新細明體"/>
      <family val="1"/>
    </font>
    <font>
      <sz val="14"/>
      <color indexed="8"/>
      <name val="Calibri"/>
      <family val="2"/>
    </font>
    <font>
      <sz val="14"/>
      <color indexed="8"/>
      <name val="Microsoft JhengHei"/>
      <family val="2"/>
    </font>
    <font>
      <b/>
      <i/>
      <sz val="12"/>
      <color indexed="8"/>
      <name val="新細明體"/>
      <family val="1"/>
    </font>
    <font>
      <b/>
      <u val="single"/>
      <sz val="11"/>
      <name val="新細明體"/>
      <family val="1"/>
    </font>
    <font>
      <b/>
      <u val="single"/>
      <sz val="12"/>
      <name val="新細明體"/>
      <family val="1"/>
    </font>
    <font>
      <b/>
      <u val="single"/>
      <sz val="12"/>
      <name val="Microsoft JhengHe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2"/>
      <name val="Microsoft JhengHei"/>
      <family val="2"/>
    </font>
    <font>
      <i/>
      <sz val="12"/>
      <name val="Calibri"/>
      <family val="2"/>
    </font>
    <font>
      <i/>
      <sz val="12"/>
      <name val="新細明體"/>
      <family val="1"/>
    </font>
    <font>
      <sz val="48"/>
      <name val="新細明體"/>
      <family val="1"/>
    </font>
    <font>
      <sz val="9"/>
      <name val="新細明體"/>
      <family val="1"/>
    </font>
    <font>
      <sz val="14"/>
      <name val="微軟正黑體"/>
      <family val="2"/>
    </font>
    <font>
      <b/>
      <sz val="14"/>
      <name val="微軟正黑體"/>
      <family val="2"/>
    </font>
    <font>
      <sz val="12"/>
      <name val="微軟正黑體"/>
      <family val="2"/>
    </font>
    <font>
      <b/>
      <sz val="18"/>
      <name val="微軟正黑體"/>
      <family val="2"/>
    </font>
    <font>
      <u val="single"/>
      <sz val="16"/>
      <name val="Calibri"/>
      <family val="2"/>
    </font>
    <font>
      <b/>
      <i/>
      <sz val="12"/>
      <name val="Calibri"/>
      <family val="2"/>
    </font>
    <font>
      <sz val="16"/>
      <name val="微軟正黑體"/>
      <family val="2"/>
    </font>
    <font>
      <sz val="16"/>
      <color indexed="12"/>
      <name val="微軟正黑體"/>
      <family val="2"/>
    </font>
    <font>
      <b/>
      <sz val="14"/>
      <color indexed="12"/>
      <name val="微軟正黑體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2"/>
      <name val="Microsoft JhengHei U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細明體"/>
      <family val="3"/>
    </font>
    <font>
      <b/>
      <i/>
      <sz val="10"/>
      <color indexed="8"/>
      <name val="新細明體"/>
      <family val="1"/>
    </font>
    <font>
      <b/>
      <i/>
      <sz val="11"/>
      <name val="新細明體"/>
      <family val="1"/>
    </font>
    <font>
      <b/>
      <i/>
      <sz val="11"/>
      <color indexed="8"/>
      <name val="新細明體"/>
      <family val="1"/>
    </font>
    <font>
      <i/>
      <sz val="12"/>
      <color indexed="8"/>
      <name val="新細明體"/>
      <family val="1"/>
    </font>
    <font>
      <b/>
      <u val="single"/>
      <sz val="12"/>
      <name val="細明體"/>
      <family val="3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17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u val="single"/>
      <sz val="12"/>
      <color indexed="30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8"/>
      <color indexed="54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  <font>
      <b/>
      <sz val="18"/>
      <color indexed="8"/>
      <name val="Calibri Light"/>
      <family val="1"/>
    </font>
    <font>
      <u val="single"/>
      <sz val="16"/>
      <name val="Calibri Light"/>
      <family val="1"/>
    </font>
    <font>
      <b/>
      <sz val="18"/>
      <name val="Calibri Light"/>
      <family val="1"/>
    </font>
    <font>
      <sz val="14"/>
      <name val="Calibri Light"/>
      <family val="1"/>
    </font>
    <font>
      <b/>
      <i/>
      <sz val="12"/>
      <name val="Calibri Light"/>
      <family val="1"/>
    </font>
    <font>
      <b/>
      <i/>
      <sz val="10"/>
      <color rgb="FF00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7"/>
      </left>
      <right style="thin">
        <color indexed="8"/>
      </right>
      <top style="double">
        <color indexed="17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>
        <color indexed="63"/>
      </bottom>
    </border>
    <border>
      <left style="double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7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17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124" fillId="0" borderId="0" applyNumberFormat="0" applyFill="0" applyBorder="0" applyAlignment="0" applyProtection="0"/>
    <xf numFmtId="0" fontId="125" fillId="20" borderId="0" applyNumberFormat="0" applyBorder="0" applyAlignment="0" applyProtection="0"/>
    <xf numFmtId="0" fontId="126" fillId="0" borderId="1" applyNumberFormat="0" applyFill="0" applyAlignment="0" applyProtection="0"/>
    <xf numFmtId="0" fontId="127" fillId="21" borderId="0" applyNumberFormat="0" applyBorder="0" applyAlignment="0" applyProtection="0"/>
    <xf numFmtId="9" fontId="1" fillId="0" borderId="0" applyFill="0" applyBorder="0" applyAlignment="0" applyProtection="0"/>
    <xf numFmtId="0" fontId="128" fillId="22" borderId="2" applyNumberFormat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129" fillId="0" borderId="3" applyNumberFormat="0" applyFill="0" applyAlignment="0" applyProtection="0"/>
    <xf numFmtId="0" fontId="0" fillId="23" borderId="4" applyNumberFormat="0" applyFon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2" fillId="26" borderId="0" applyNumberFormat="0" applyBorder="0" applyAlignment="0" applyProtection="0"/>
    <xf numFmtId="0" fontId="132" fillId="27" borderId="0" applyNumberFormat="0" applyBorder="0" applyAlignment="0" applyProtection="0"/>
    <xf numFmtId="0" fontId="132" fillId="28" borderId="0" applyNumberFormat="0" applyBorder="0" applyAlignment="0" applyProtection="0"/>
    <xf numFmtId="0" fontId="132" fillId="29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5" applyNumberFormat="0" applyFill="0" applyAlignment="0" applyProtection="0"/>
    <xf numFmtId="0" fontId="135" fillId="0" borderId="6" applyNumberFormat="0" applyFill="0" applyAlignment="0" applyProtection="0"/>
    <xf numFmtId="0" fontId="136" fillId="0" borderId="7" applyNumberFormat="0" applyFill="0" applyAlignment="0" applyProtection="0"/>
    <xf numFmtId="0" fontId="136" fillId="0" borderId="0" applyNumberFormat="0" applyFill="0" applyBorder="0" applyAlignment="0" applyProtection="0"/>
    <xf numFmtId="0" fontId="137" fillId="30" borderId="2" applyNumberFormat="0" applyAlignment="0" applyProtection="0"/>
    <xf numFmtId="0" fontId="138" fillId="22" borderId="8" applyNumberFormat="0" applyAlignment="0" applyProtection="0"/>
    <xf numFmtId="0" fontId="139" fillId="31" borderId="9" applyNumberFormat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</cellStyleXfs>
  <cellXfs count="6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6" fillId="0" borderId="0" xfId="40" applyFont="1">
      <alignment/>
      <protection/>
    </xf>
    <xf numFmtId="0" fontId="3" fillId="0" borderId="0" xfId="40" applyFont="1" applyAlignment="1">
      <alignment horizontal="left"/>
      <protection/>
    </xf>
    <xf numFmtId="0" fontId="36" fillId="0" borderId="0" xfId="40" applyFont="1" applyAlignment="1">
      <alignment horizontal="right"/>
      <protection/>
    </xf>
    <xf numFmtId="0" fontId="3" fillId="0" borderId="12" xfId="40" applyFont="1" applyBorder="1" applyAlignment="1">
      <alignment horizontal="center" vertical="top" wrapText="1"/>
      <protection/>
    </xf>
    <xf numFmtId="0" fontId="3" fillId="0" borderId="21" xfId="40" applyFont="1" applyBorder="1" applyAlignment="1">
      <alignment horizontal="center" vertical="top" wrapText="1"/>
      <protection/>
    </xf>
    <xf numFmtId="0" fontId="36" fillId="0" borderId="0" xfId="40" applyFont="1" applyAlignment="1">
      <alignment horizontal="center" vertical="top" wrapText="1"/>
      <protection/>
    </xf>
    <xf numFmtId="0" fontId="3" fillId="0" borderId="27" xfId="40" applyFont="1" applyBorder="1" applyAlignment="1">
      <alignment horizontal="center" vertical="top" wrapText="1"/>
      <protection/>
    </xf>
    <xf numFmtId="0" fontId="3" fillId="0" borderId="26" xfId="40" applyFont="1" applyBorder="1" applyAlignment="1">
      <alignment horizontal="center" vertical="top" wrapText="1"/>
      <protection/>
    </xf>
    <xf numFmtId="0" fontId="39" fillId="0" borderId="0" xfId="40" applyFont="1" applyAlignment="1">
      <alignment horizontal="left"/>
      <protection/>
    </xf>
    <xf numFmtId="0" fontId="36" fillId="0" borderId="0" xfId="40" applyFont="1" applyAlignment="1">
      <alignment horizontal="center"/>
      <protection/>
    </xf>
    <xf numFmtId="0" fontId="41" fillId="0" borderId="0" xfId="40" applyFont="1" applyAlignment="1">
      <alignment horizontal="center"/>
      <protection/>
    </xf>
    <xf numFmtId="0" fontId="42" fillId="0" borderId="12" xfId="35" applyFont="1" applyBorder="1" applyAlignment="1">
      <alignment horizontal="left"/>
      <protection/>
    </xf>
    <xf numFmtId="0" fontId="43" fillId="0" borderId="17" xfId="40" applyFont="1" applyBorder="1" applyAlignment="1">
      <alignment horizontal="left"/>
      <protection/>
    </xf>
    <xf numFmtId="0" fontId="40" fillId="0" borderId="0" xfId="40" applyFont="1" applyAlignment="1">
      <alignment horizontal="right"/>
      <protection/>
    </xf>
    <xf numFmtId="0" fontId="44" fillId="0" borderId="17" xfId="40" applyFont="1" applyBorder="1" applyAlignment="1">
      <alignment horizontal="center"/>
      <protection/>
    </xf>
    <xf numFmtId="0" fontId="41" fillId="0" borderId="10" xfId="40" applyFont="1" applyBorder="1">
      <alignment/>
      <protection/>
    </xf>
    <xf numFmtId="0" fontId="41" fillId="0" borderId="0" xfId="40" applyFont="1">
      <alignment/>
      <protection/>
    </xf>
    <xf numFmtId="0" fontId="43" fillId="0" borderId="26" xfId="40" applyFont="1" applyBorder="1">
      <alignment/>
      <protection/>
    </xf>
    <xf numFmtId="0" fontId="46" fillId="0" borderId="0" xfId="40" applyFont="1" applyAlignment="1">
      <alignment horizontal="center"/>
      <protection/>
    </xf>
    <xf numFmtId="0" fontId="46" fillId="0" borderId="17" xfId="40" applyFont="1" applyBorder="1" applyAlignment="1">
      <alignment horizontal="center"/>
      <protection/>
    </xf>
    <xf numFmtId="0" fontId="47" fillId="0" borderId="0" xfId="40" applyFont="1" applyAlignment="1">
      <alignment horizontal="center"/>
      <protection/>
    </xf>
    <xf numFmtId="0" fontId="41" fillId="0" borderId="17" xfId="40" applyFont="1" applyBorder="1" applyAlignment="1">
      <alignment horizontal="center"/>
      <protection/>
    </xf>
    <xf numFmtId="0" fontId="41" fillId="0" borderId="10" xfId="40" applyFont="1" applyBorder="1" applyAlignment="1">
      <alignment horizontal="center"/>
      <protection/>
    </xf>
    <xf numFmtId="0" fontId="45" fillId="0" borderId="0" xfId="40" applyFont="1" applyAlignment="1">
      <alignment horizontal="center"/>
      <protection/>
    </xf>
    <xf numFmtId="0" fontId="44" fillId="0" borderId="27" xfId="40" applyFont="1" applyBorder="1" applyAlignment="1">
      <alignment horizontal="center"/>
      <protection/>
    </xf>
    <xf numFmtId="0" fontId="43" fillId="0" borderId="0" xfId="40" applyFont="1" applyAlignment="1">
      <alignment horizontal="center"/>
      <protection/>
    </xf>
    <xf numFmtId="0" fontId="47" fillId="0" borderId="17" xfId="40" applyFont="1" applyBorder="1" applyAlignment="1">
      <alignment horizontal="center"/>
      <protection/>
    </xf>
    <xf numFmtId="0" fontId="36" fillId="0" borderId="10" xfId="40" applyFont="1" applyBorder="1">
      <alignment/>
      <protection/>
    </xf>
    <xf numFmtId="0" fontId="36" fillId="0" borderId="17" xfId="40" applyFont="1" applyBorder="1">
      <alignment/>
      <protection/>
    </xf>
    <xf numFmtId="0" fontId="48" fillId="0" borderId="0" xfId="40" applyFont="1" applyAlignment="1">
      <alignment horizontal="center"/>
      <protection/>
    </xf>
    <xf numFmtId="0" fontId="49" fillId="0" borderId="0" xfId="40" applyFont="1">
      <alignment/>
      <protection/>
    </xf>
    <xf numFmtId="0" fontId="50" fillId="0" borderId="0" xfId="0" applyFont="1" applyAlignment="1">
      <alignment vertical="center"/>
    </xf>
    <xf numFmtId="0" fontId="51" fillId="0" borderId="17" xfId="0" applyFont="1" applyBorder="1" applyAlignment="1">
      <alignment vertical="center"/>
    </xf>
    <xf numFmtId="0" fontId="36" fillId="0" borderId="11" xfId="40" applyFont="1" applyBorder="1">
      <alignment/>
      <protection/>
    </xf>
    <xf numFmtId="0" fontId="51" fillId="0" borderId="27" xfId="0" applyFont="1" applyBorder="1" applyAlignment="1">
      <alignment vertical="center"/>
    </xf>
    <xf numFmtId="0" fontId="40" fillId="0" borderId="0" xfId="40" applyFont="1">
      <alignment/>
      <protection/>
    </xf>
    <xf numFmtId="0" fontId="0" fillId="0" borderId="0" xfId="35" applyFont="1">
      <alignment/>
      <protection/>
    </xf>
    <xf numFmtId="0" fontId="0" fillId="0" borderId="0" xfId="35" applyFont="1" applyAlignment="1">
      <alignment horizontal="center"/>
      <protection/>
    </xf>
    <xf numFmtId="0" fontId="53" fillId="0" borderId="0" xfId="35" applyFont="1">
      <alignment/>
      <protection/>
    </xf>
    <xf numFmtId="0" fontId="54" fillId="0" borderId="0" xfId="35" applyFont="1">
      <alignment/>
      <protection/>
    </xf>
    <xf numFmtId="0" fontId="0" fillId="0" borderId="0" xfId="35" applyFont="1" applyAlignment="1">
      <alignment horizontal="left"/>
      <protection/>
    </xf>
    <xf numFmtId="0" fontId="20" fillId="0" borderId="0" xfId="35" applyFont="1">
      <alignment/>
      <protection/>
    </xf>
    <xf numFmtId="0" fontId="55" fillId="0" borderId="0" xfId="35" applyFont="1">
      <alignment/>
      <protection/>
    </xf>
    <xf numFmtId="0" fontId="29" fillId="0" borderId="0" xfId="35" applyFont="1">
      <alignment/>
      <protection/>
    </xf>
    <xf numFmtId="0" fontId="56" fillId="0" borderId="0" xfId="35" applyFont="1" applyAlignment="1">
      <alignment horizontal="center"/>
      <protection/>
    </xf>
    <xf numFmtId="0" fontId="57" fillId="0" borderId="0" xfId="35" applyFont="1" applyAlignment="1">
      <alignment horizontal="center"/>
      <protection/>
    </xf>
    <xf numFmtId="0" fontId="57" fillId="0" borderId="13" xfId="35" applyFont="1" applyBorder="1" applyAlignment="1">
      <alignment horizontal="center"/>
      <protection/>
    </xf>
    <xf numFmtId="0" fontId="13" fillId="0" borderId="12" xfId="35" applyFont="1" applyBorder="1" applyAlignment="1">
      <alignment horizontal="center"/>
      <protection/>
    </xf>
    <xf numFmtId="0" fontId="13" fillId="33" borderId="12" xfId="35" applyFont="1" applyFill="1" applyBorder="1" applyAlignment="1">
      <alignment horizontal="center"/>
      <protection/>
    </xf>
    <xf numFmtId="0" fontId="13" fillId="0" borderId="22" xfId="35" applyFont="1" applyBorder="1" applyAlignment="1">
      <alignment horizontal="center"/>
      <protection/>
    </xf>
    <xf numFmtId="0" fontId="0" fillId="0" borderId="12" xfId="35" applyFont="1" applyBorder="1">
      <alignment/>
      <protection/>
    </xf>
    <xf numFmtId="0" fontId="13" fillId="0" borderId="16" xfId="35" applyFont="1" applyBorder="1" applyAlignment="1">
      <alignment horizontal="center"/>
      <protection/>
    </xf>
    <xf numFmtId="0" fontId="57" fillId="0" borderId="12" xfId="35" applyFont="1" applyBorder="1" applyAlignment="1">
      <alignment horizontal="center"/>
      <protection/>
    </xf>
    <xf numFmtId="0" fontId="57" fillId="0" borderId="12" xfId="39" applyFont="1" applyBorder="1" applyAlignment="1">
      <alignment horizontal="center"/>
      <protection/>
    </xf>
    <xf numFmtId="0" fontId="13" fillId="33" borderId="12" xfId="39" applyFont="1" applyFill="1" applyBorder="1" applyAlignment="1">
      <alignment horizontal="center"/>
      <protection/>
    </xf>
    <xf numFmtId="0" fontId="13" fillId="0" borderId="15" xfId="35" applyFont="1" applyBorder="1" applyAlignment="1">
      <alignment horizontal="center"/>
      <protection/>
    </xf>
    <xf numFmtId="0" fontId="0" fillId="0" borderId="16" xfId="35" applyFont="1" applyBorder="1" applyAlignment="1">
      <alignment horizontal="center"/>
      <protection/>
    </xf>
    <xf numFmtId="0" fontId="13" fillId="0" borderId="0" xfId="35" applyFont="1" applyAlignment="1">
      <alignment horizontal="right"/>
      <protection/>
    </xf>
    <xf numFmtId="0" fontId="13" fillId="0" borderId="0" xfId="35" applyFont="1" applyAlignment="1">
      <alignment horizontal="left"/>
      <protection/>
    </xf>
    <xf numFmtId="0" fontId="13" fillId="0" borderId="29" xfId="35" applyFont="1" applyBorder="1" applyAlignment="1">
      <alignment horizontal="center"/>
      <protection/>
    </xf>
    <xf numFmtId="0" fontId="13" fillId="0" borderId="13" xfId="39" applyFont="1" applyBorder="1" applyAlignment="1">
      <alignment horizontal="center"/>
      <protection/>
    </xf>
    <xf numFmtId="0" fontId="13" fillId="35" borderId="15" xfId="39" applyFont="1" applyFill="1" applyBorder="1" applyAlignment="1">
      <alignment horizontal="right"/>
      <protection/>
    </xf>
    <xf numFmtId="0" fontId="13" fillId="33" borderId="15" xfId="39" applyFont="1" applyFill="1" applyBorder="1" applyAlignment="1">
      <alignment horizontal="left"/>
      <protection/>
    </xf>
    <xf numFmtId="0" fontId="13" fillId="0" borderId="30" xfId="35" applyFont="1" applyBorder="1" applyAlignment="1">
      <alignment horizontal="center"/>
      <protection/>
    </xf>
    <xf numFmtId="0" fontId="13" fillId="0" borderId="0" xfId="39" applyFont="1" applyAlignment="1">
      <alignment horizontal="center"/>
      <protection/>
    </xf>
    <xf numFmtId="0" fontId="13" fillId="0" borderId="31" xfId="35" applyFont="1" applyBorder="1" applyAlignment="1">
      <alignment horizontal="center"/>
      <protection/>
    </xf>
    <xf numFmtId="0" fontId="13" fillId="0" borderId="32" xfId="35" applyFont="1" applyBorder="1" applyAlignment="1">
      <alignment horizontal="center"/>
      <protection/>
    </xf>
    <xf numFmtId="0" fontId="13" fillId="0" borderId="33" xfId="35" applyFont="1" applyBorder="1" applyAlignment="1">
      <alignment horizontal="center"/>
      <protection/>
    </xf>
    <xf numFmtId="0" fontId="13" fillId="0" borderId="12" xfId="39" applyFont="1" applyBorder="1" applyAlignment="1">
      <alignment horizontal="center"/>
      <protection/>
    </xf>
    <xf numFmtId="0" fontId="13" fillId="0" borderId="17" xfId="35" applyFont="1" applyBorder="1" applyAlignment="1">
      <alignment horizontal="center"/>
      <protection/>
    </xf>
    <xf numFmtId="0" fontId="13" fillId="35" borderId="27" xfId="39" applyFont="1" applyFill="1" applyBorder="1" applyAlignment="1">
      <alignment horizontal="right"/>
      <protection/>
    </xf>
    <xf numFmtId="0" fontId="13" fillId="33" borderId="27" xfId="39" applyFont="1" applyFill="1" applyBorder="1" applyAlignment="1">
      <alignment horizontal="left"/>
      <protection/>
    </xf>
    <xf numFmtId="0" fontId="13" fillId="0" borderId="34" xfId="35" applyFont="1" applyBorder="1" applyAlignment="1">
      <alignment horizontal="center"/>
      <protection/>
    </xf>
    <xf numFmtId="0" fontId="13" fillId="0" borderId="10" xfId="39" applyFont="1" applyBorder="1" applyAlignment="1">
      <alignment horizontal="center"/>
      <protection/>
    </xf>
    <xf numFmtId="0" fontId="13" fillId="0" borderId="26" xfId="35" applyFont="1" applyBorder="1" applyAlignment="1">
      <alignment horizontal="center"/>
      <protection/>
    </xf>
    <xf numFmtId="0" fontId="13" fillId="33" borderId="13" xfId="39" applyFont="1" applyFill="1" applyBorder="1" applyAlignment="1">
      <alignment horizontal="left"/>
      <protection/>
    </xf>
    <xf numFmtId="0" fontId="13" fillId="0" borderId="11" xfId="35" applyFont="1" applyBorder="1" applyAlignment="1">
      <alignment horizontal="center"/>
      <protection/>
    </xf>
    <xf numFmtId="0" fontId="13" fillId="0" borderId="28" xfId="39" applyFont="1" applyBorder="1" applyAlignment="1">
      <alignment horizontal="center"/>
      <protection/>
    </xf>
    <xf numFmtId="0" fontId="13" fillId="0" borderId="14" xfId="35" applyFont="1" applyBorder="1" applyAlignment="1">
      <alignment horizontal="center"/>
      <protection/>
    </xf>
    <xf numFmtId="0" fontId="13" fillId="35" borderId="16" xfId="39" applyFont="1" applyFill="1" applyBorder="1" applyAlignment="1">
      <alignment horizontal="right"/>
      <protection/>
    </xf>
    <xf numFmtId="0" fontId="13" fillId="33" borderId="16" xfId="39" applyFont="1" applyFill="1" applyBorder="1" applyAlignment="1">
      <alignment horizontal="left"/>
      <protection/>
    </xf>
    <xf numFmtId="0" fontId="13" fillId="0" borderId="35" xfId="35" applyFont="1" applyBorder="1" applyAlignment="1">
      <alignment horizontal="center"/>
      <protection/>
    </xf>
    <xf numFmtId="0" fontId="13" fillId="35" borderId="0" xfId="39" applyFont="1" applyFill="1" applyAlignment="1">
      <alignment horizontal="right"/>
      <protection/>
    </xf>
    <xf numFmtId="0" fontId="13" fillId="35" borderId="13" xfId="39" applyFont="1" applyFill="1" applyBorder="1" applyAlignment="1">
      <alignment horizontal="right"/>
      <protection/>
    </xf>
    <xf numFmtId="0" fontId="13" fillId="0" borderId="15" xfId="39" applyFont="1" applyBorder="1" applyAlignment="1">
      <alignment horizontal="center"/>
      <protection/>
    </xf>
    <xf numFmtId="0" fontId="13" fillId="0" borderId="17" xfId="39" applyFont="1" applyBorder="1" applyAlignment="1">
      <alignment horizontal="center"/>
      <protection/>
    </xf>
    <xf numFmtId="0" fontId="13" fillId="0" borderId="34" xfId="39" applyFont="1" applyBorder="1" applyAlignment="1">
      <alignment horizontal="center"/>
      <protection/>
    </xf>
    <xf numFmtId="0" fontId="13" fillId="0" borderId="26" xfId="39" applyFont="1" applyBorder="1" applyAlignment="1">
      <alignment horizontal="center"/>
      <protection/>
    </xf>
    <xf numFmtId="0" fontId="13" fillId="0" borderId="11" xfId="39" applyFont="1" applyBorder="1" applyAlignment="1">
      <alignment horizontal="center"/>
      <protection/>
    </xf>
    <xf numFmtId="0" fontId="13" fillId="0" borderId="14" xfId="39" applyFont="1" applyBorder="1" applyAlignment="1">
      <alignment horizontal="center"/>
      <protection/>
    </xf>
    <xf numFmtId="0" fontId="13" fillId="35" borderId="34" xfId="39" applyFont="1" applyFill="1" applyBorder="1" applyAlignment="1">
      <alignment horizontal="right"/>
      <protection/>
    </xf>
    <xf numFmtId="0" fontId="0" fillId="0" borderId="36" xfId="35" applyFont="1" applyBorder="1">
      <alignment/>
      <protection/>
    </xf>
    <xf numFmtId="0" fontId="13" fillId="0" borderId="0" xfId="40" applyFont="1" applyAlignment="1">
      <alignment horizontal="left"/>
      <protection/>
    </xf>
    <xf numFmtId="0" fontId="0" fillId="0" borderId="0" xfId="40" applyFont="1" applyAlignment="1">
      <alignment horizontal="right"/>
      <protection/>
    </xf>
    <xf numFmtId="0" fontId="0" fillId="0" borderId="0" xfId="40" applyFont="1" applyAlignment="1">
      <alignment horizontal="center"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center" vertical="top" wrapText="1"/>
      <protection/>
    </xf>
    <xf numFmtId="0" fontId="13" fillId="0" borderId="12" xfId="40" applyFont="1" applyBorder="1" applyAlignment="1">
      <alignment horizontal="center" vertical="top" wrapText="1"/>
      <protection/>
    </xf>
    <xf numFmtId="0" fontId="59" fillId="0" borderId="0" xfId="40" applyFont="1" applyAlignment="1">
      <alignment horizontal="center" vertical="top" wrapText="1"/>
      <protection/>
    </xf>
    <xf numFmtId="0" fontId="60" fillId="0" borderId="12" xfId="40" applyFont="1" applyBorder="1" applyAlignment="1">
      <alignment horizontal="center" vertical="top" wrapText="1"/>
      <protection/>
    </xf>
    <xf numFmtId="0" fontId="58" fillId="0" borderId="0" xfId="40" applyFont="1" applyAlignment="1">
      <alignment horizontal="left"/>
      <protection/>
    </xf>
    <xf numFmtId="0" fontId="40" fillId="0" borderId="10" xfId="40" applyFont="1" applyBorder="1" applyAlignment="1">
      <alignment horizontal="right"/>
      <protection/>
    </xf>
    <xf numFmtId="0" fontId="61" fillId="0" borderId="0" xfId="0" applyFont="1" applyAlignment="1">
      <alignment horizontal="center"/>
    </xf>
    <xf numFmtId="0" fontId="62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61" fillId="0" borderId="17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63" fillId="0" borderId="17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49" fontId="45" fillId="0" borderId="17" xfId="40" applyNumberFormat="1" applyFont="1" applyBorder="1" applyAlignment="1">
      <alignment horizontal="center"/>
      <protection/>
    </xf>
    <xf numFmtId="0" fontId="36" fillId="0" borderId="17" xfId="0" applyFont="1" applyBorder="1" applyAlignment="1">
      <alignment vertical="center"/>
    </xf>
    <xf numFmtId="0" fontId="51" fillId="0" borderId="1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6" fillId="0" borderId="15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center"/>
    </xf>
    <xf numFmtId="0" fontId="65" fillId="0" borderId="10" xfId="0" applyFont="1" applyBorder="1" applyAlignment="1">
      <alignment horizontal="right"/>
    </xf>
    <xf numFmtId="0" fontId="62" fillId="0" borderId="12" xfId="40" applyFont="1" applyBorder="1" applyAlignment="1">
      <alignment horizontal="center"/>
      <protection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0" xfId="0" applyFont="1" applyBorder="1" applyAlignment="1">
      <alignment horizontal="center"/>
    </xf>
    <xf numFmtId="0" fontId="67" fillId="0" borderId="0" xfId="40" applyFont="1" applyAlignment="1">
      <alignment horizontal="center" vertical="center"/>
      <protection/>
    </xf>
    <xf numFmtId="0" fontId="63" fillId="0" borderId="34" xfId="0" applyFont="1" applyBorder="1" applyAlignment="1">
      <alignment horizontal="center"/>
    </xf>
    <xf numFmtId="0" fontId="40" fillId="0" borderId="10" xfId="40" applyFont="1" applyBorder="1" applyAlignment="1">
      <alignment horizontal="center" vertical="center"/>
      <protection/>
    </xf>
    <xf numFmtId="0" fontId="40" fillId="0" borderId="12" xfId="40" applyFont="1" applyBorder="1" applyAlignment="1">
      <alignment horizontal="center" vertical="center"/>
      <protection/>
    </xf>
    <xf numFmtId="0" fontId="6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8" fillId="0" borderId="0" xfId="40" applyFont="1" applyAlignment="1">
      <alignment horizontal="center"/>
      <protection/>
    </xf>
    <xf numFmtId="0" fontId="36" fillId="0" borderId="14" xfId="40" applyFont="1" applyBorder="1">
      <alignment/>
      <protection/>
    </xf>
    <xf numFmtId="49" fontId="45" fillId="0" borderId="0" xfId="40" applyNumberFormat="1" applyFont="1" applyAlignment="1">
      <alignment horizontal="center"/>
      <protection/>
    </xf>
    <xf numFmtId="0" fontId="66" fillId="0" borderId="34" xfId="0" applyFont="1" applyBorder="1" applyAlignment="1">
      <alignment horizontal="center"/>
    </xf>
    <xf numFmtId="0" fontId="36" fillId="0" borderId="26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22" xfId="40" applyFont="1" applyBorder="1" applyAlignment="1">
      <alignment horizontal="center"/>
      <protection/>
    </xf>
    <xf numFmtId="0" fontId="36" fillId="0" borderId="15" xfId="40" applyFont="1" applyBorder="1">
      <alignment/>
      <protection/>
    </xf>
    <xf numFmtId="0" fontId="36" fillId="0" borderId="0" xfId="0" applyFont="1" applyAlignment="1">
      <alignment horizontal="right" vertical="center"/>
    </xf>
    <xf numFmtId="0" fontId="6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36" fillId="0" borderId="16" xfId="40" applyFont="1" applyBorder="1">
      <alignment/>
      <protection/>
    </xf>
    <xf numFmtId="0" fontId="69" fillId="0" borderId="0" xfId="0" applyFont="1" applyAlignment="1">
      <alignment vertical="center"/>
    </xf>
    <xf numFmtId="0" fontId="36" fillId="0" borderId="17" xfId="40" applyFont="1" applyBorder="1" applyAlignment="1">
      <alignment horizontal="center"/>
      <protection/>
    </xf>
    <xf numFmtId="0" fontId="36" fillId="0" borderId="34" xfId="40" applyFont="1" applyBorder="1">
      <alignment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40" applyFont="1">
      <alignment/>
      <protection/>
    </xf>
    <xf numFmtId="0" fontId="33" fillId="0" borderId="12" xfId="0" applyFont="1" applyBorder="1" applyAlignment="1">
      <alignment horizontal="center" vertical="center"/>
    </xf>
    <xf numFmtId="0" fontId="40" fillId="0" borderId="12" xfId="40" applyFont="1" applyBorder="1">
      <alignment/>
      <protection/>
    </xf>
    <xf numFmtId="0" fontId="47" fillId="0" borderId="0" xfId="40" applyFont="1" applyAlignment="1">
      <alignment horizontal="left"/>
      <protection/>
    </xf>
    <xf numFmtId="0" fontId="46" fillId="0" borderId="0" xfId="40" applyFont="1" applyAlignment="1">
      <alignment horizontal="right"/>
      <protection/>
    </xf>
    <xf numFmtId="0" fontId="44" fillId="0" borderId="10" xfId="40" applyFont="1" applyBorder="1" applyAlignment="1">
      <alignment horizontal="center"/>
      <protection/>
    </xf>
    <xf numFmtId="0" fontId="46" fillId="0" borderId="0" xfId="40" applyFont="1" applyAlignment="1">
      <alignment vertical="center"/>
      <protection/>
    </xf>
    <xf numFmtId="0" fontId="41" fillId="0" borderId="0" xfId="40" applyFont="1" applyAlignment="1">
      <alignment horizontal="center" vertical="center"/>
      <protection/>
    </xf>
    <xf numFmtId="0" fontId="41" fillId="0" borderId="0" xfId="40" applyFont="1" applyAlignment="1">
      <alignment vertical="center"/>
      <protection/>
    </xf>
    <xf numFmtId="0" fontId="40" fillId="0" borderId="0" xfId="40" applyFont="1" applyAlignment="1">
      <alignment horizontal="center" vertical="center"/>
      <protection/>
    </xf>
    <xf numFmtId="0" fontId="40" fillId="0" borderId="0" xfId="40" applyFont="1" applyAlignment="1">
      <alignment horizontal="right" vertical="center"/>
      <protection/>
    </xf>
    <xf numFmtId="0" fontId="36" fillId="0" borderId="13" xfId="40" applyFont="1" applyBorder="1">
      <alignment/>
      <protection/>
    </xf>
    <xf numFmtId="0" fontId="70" fillId="0" borderId="0" xfId="40" applyFont="1" applyAlignment="1">
      <alignment horizontal="left"/>
      <protection/>
    </xf>
    <xf numFmtId="0" fontId="57" fillId="0" borderId="0" xfId="40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0" fontId="72" fillId="0" borderId="0" xfId="40" applyFont="1" applyAlignment="1">
      <alignment horizontal="center"/>
      <protection/>
    </xf>
    <xf numFmtId="0" fontId="42" fillId="0" borderId="12" xfId="35" applyFont="1" applyBorder="1" applyAlignment="1">
      <alignment horizontal="center"/>
      <protection/>
    </xf>
    <xf numFmtId="0" fontId="36" fillId="0" borderId="15" xfId="0" applyFont="1" applyBorder="1" applyAlignment="1">
      <alignment horizontal="center"/>
    </xf>
    <xf numFmtId="0" fontId="47" fillId="0" borderId="0" xfId="40" applyFont="1">
      <alignment/>
      <protection/>
    </xf>
    <xf numFmtId="49" fontId="73" fillId="0" borderId="17" xfId="40" applyNumberFormat="1" applyFont="1" applyBorder="1" applyAlignment="1">
      <alignment horizontal="center"/>
      <protection/>
    </xf>
    <xf numFmtId="0" fontId="42" fillId="0" borderId="17" xfId="35" applyFont="1" applyBorder="1" applyAlignment="1">
      <alignment horizontal="center"/>
      <protection/>
    </xf>
    <xf numFmtId="0" fontId="40" fillId="0" borderId="0" xfId="40" applyFont="1" applyAlignment="1">
      <alignment horizontal="left"/>
      <protection/>
    </xf>
    <xf numFmtId="0" fontId="36" fillId="0" borderId="0" xfId="0" applyFont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2" fillId="0" borderId="0" xfId="35" applyFont="1">
      <alignment/>
      <protection/>
    </xf>
    <xf numFmtId="0" fontId="42" fillId="0" borderId="0" xfId="35" applyFont="1" applyAlignment="1">
      <alignment horizontal="left"/>
      <protection/>
    </xf>
    <xf numFmtId="0" fontId="51" fillId="0" borderId="14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73" fillId="0" borderId="0" xfId="40" applyNumberFormat="1" applyFont="1" applyAlignment="1">
      <alignment horizontal="center"/>
      <protection/>
    </xf>
    <xf numFmtId="0" fontId="42" fillId="0" borderId="10" xfId="35" applyFont="1" applyBorder="1" applyAlignment="1">
      <alignment horizontal="center"/>
      <protection/>
    </xf>
    <xf numFmtId="0" fontId="42" fillId="0" borderId="27" xfId="35" applyFont="1" applyBorder="1" applyAlignment="1">
      <alignment horizontal="center"/>
      <protection/>
    </xf>
    <xf numFmtId="0" fontId="40" fillId="0" borderId="0" xfId="0" applyFont="1" applyAlignment="1">
      <alignment horizontal="left" vertical="center"/>
    </xf>
    <xf numFmtId="0" fontId="0" fillId="0" borderId="0" xfId="0" applyAlignment="1">
      <alignment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51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13" fillId="33" borderId="12" xfId="38" applyFont="1" applyFill="1" applyBorder="1" applyAlignment="1">
      <alignment horizontal="center"/>
      <protection/>
    </xf>
    <xf numFmtId="0" fontId="13" fillId="0" borderId="13" xfId="38" applyFont="1" applyBorder="1" applyAlignment="1">
      <alignment horizontal="center"/>
      <protection/>
    </xf>
    <xf numFmtId="0" fontId="13" fillId="35" borderId="15" xfId="37" applyFont="1" applyFill="1" applyBorder="1" applyAlignment="1">
      <alignment horizontal="right"/>
      <protection/>
    </xf>
    <xf numFmtId="0" fontId="13" fillId="33" borderId="15" xfId="37" applyFont="1" applyFill="1" applyBorder="1" applyAlignment="1">
      <alignment horizontal="left"/>
      <protection/>
    </xf>
    <xf numFmtId="0" fontId="13" fillId="0" borderId="15" xfId="37" applyFont="1" applyBorder="1" applyAlignment="1">
      <alignment horizontal="center"/>
      <protection/>
    </xf>
    <xf numFmtId="0" fontId="13" fillId="0" borderId="0" xfId="37" applyFont="1" applyAlignment="1">
      <alignment horizontal="center"/>
      <protection/>
    </xf>
    <xf numFmtId="0" fontId="13" fillId="0" borderId="17" xfId="37" applyFont="1" applyBorder="1" applyAlignment="1">
      <alignment horizontal="center"/>
      <protection/>
    </xf>
    <xf numFmtId="0" fontId="13" fillId="0" borderId="0" xfId="35" applyFont="1">
      <alignment/>
      <protection/>
    </xf>
    <xf numFmtId="0" fontId="13" fillId="0" borderId="12" xfId="38" applyFont="1" applyBorder="1" applyAlignment="1">
      <alignment horizontal="center"/>
      <protection/>
    </xf>
    <xf numFmtId="0" fontId="13" fillId="35" borderId="34" xfId="37" applyFont="1" applyFill="1" applyBorder="1" applyAlignment="1">
      <alignment horizontal="right"/>
      <protection/>
    </xf>
    <xf numFmtId="0" fontId="13" fillId="33" borderId="34" xfId="37" applyFont="1" applyFill="1" applyBorder="1" applyAlignment="1">
      <alignment horizontal="left"/>
      <protection/>
    </xf>
    <xf numFmtId="0" fontId="13" fillId="0" borderId="34" xfId="37" applyFont="1" applyBorder="1" applyAlignment="1">
      <alignment horizontal="center"/>
      <protection/>
    </xf>
    <xf numFmtId="0" fontId="13" fillId="0" borderId="10" xfId="37" applyFont="1" applyBorder="1" applyAlignment="1">
      <alignment horizontal="center"/>
      <protection/>
    </xf>
    <xf numFmtId="0" fontId="13" fillId="0" borderId="26" xfId="37" applyFont="1" applyBorder="1" applyAlignment="1">
      <alignment horizontal="center"/>
      <protection/>
    </xf>
    <xf numFmtId="0" fontId="13" fillId="35" borderId="27" xfId="37" applyFont="1" applyFill="1" applyBorder="1" applyAlignment="1">
      <alignment horizontal="right"/>
      <protection/>
    </xf>
    <xf numFmtId="0" fontId="13" fillId="33" borderId="27" xfId="37" applyFont="1" applyFill="1" applyBorder="1" applyAlignment="1">
      <alignment horizontal="left"/>
      <protection/>
    </xf>
    <xf numFmtId="0" fontId="13" fillId="33" borderId="13" xfId="37" applyFont="1" applyFill="1" applyBorder="1" applyAlignment="1">
      <alignment horizontal="left"/>
      <protection/>
    </xf>
    <xf numFmtId="0" fontId="13" fillId="0" borderId="28" xfId="37" applyFont="1" applyBorder="1" applyAlignment="1">
      <alignment horizontal="center"/>
      <protection/>
    </xf>
    <xf numFmtId="0" fontId="13" fillId="0" borderId="14" xfId="37" applyFont="1" applyBorder="1" applyAlignment="1">
      <alignment horizontal="center"/>
      <protection/>
    </xf>
    <xf numFmtId="0" fontId="13" fillId="35" borderId="16" xfId="37" applyFont="1" applyFill="1" applyBorder="1" applyAlignment="1">
      <alignment horizontal="right"/>
      <protection/>
    </xf>
    <xf numFmtId="0" fontId="13" fillId="33" borderId="16" xfId="37" applyFont="1" applyFill="1" applyBorder="1" applyAlignment="1">
      <alignment horizontal="left"/>
      <protection/>
    </xf>
    <xf numFmtId="0" fontId="13" fillId="0" borderId="37" xfId="38" applyFont="1" applyBorder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 horizontal="center"/>
      <protection/>
    </xf>
    <xf numFmtId="0" fontId="74" fillId="0" borderId="0" xfId="36" applyFont="1" applyAlignment="1">
      <alignment horizontal="left" vertical="center"/>
      <protection/>
    </xf>
    <xf numFmtId="0" fontId="42" fillId="0" borderId="0" xfId="36" applyFont="1" applyAlignment="1">
      <alignment horizontal="center"/>
      <protection/>
    </xf>
    <xf numFmtId="0" fontId="74" fillId="0" borderId="0" xfId="36" applyFont="1" applyAlignment="1">
      <alignment horizontal="center"/>
      <protection/>
    </xf>
    <xf numFmtId="0" fontId="42" fillId="34" borderId="0" xfId="36" applyFont="1" applyFill="1" applyAlignment="1">
      <alignment horizontal="center"/>
      <protection/>
    </xf>
    <xf numFmtId="0" fontId="0" fillId="34" borderId="0" xfId="36" applyFont="1" applyFill="1">
      <alignment/>
      <protection/>
    </xf>
    <xf numFmtId="0" fontId="74" fillId="34" borderId="0" xfId="36" applyFont="1" applyFill="1" applyAlignment="1">
      <alignment horizontal="center"/>
      <protection/>
    </xf>
    <xf numFmtId="0" fontId="77" fillId="34" borderId="0" xfId="36" applyFont="1" applyFill="1" applyAlignment="1">
      <alignment horizontal="center"/>
      <protection/>
    </xf>
    <xf numFmtId="0" fontId="0" fillId="34" borderId="0" xfId="36" applyFont="1" applyFill="1" applyAlignment="1">
      <alignment horizontal="center"/>
      <protection/>
    </xf>
    <xf numFmtId="0" fontId="78" fillId="34" borderId="0" xfId="36" applyFont="1" applyFill="1" applyAlignment="1">
      <alignment horizontal="center"/>
      <protection/>
    </xf>
    <xf numFmtId="0" fontId="79" fillId="0" borderId="38" xfId="36" applyFont="1" applyBorder="1" applyAlignment="1">
      <alignment horizontal="center"/>
      <protection/>
    </xf>
    <xf numFmtId="0" fontId="9" fillId="0" borderId="39" xfId="36" applyFont="1" applyBorder="1" applyAlignment="1">
      <alignment horizontal="center"/>
      <protection/>
    </xf>
    <xf numFmtId="0" fontId="9" fillId="0" borderId="40" xfId="36" applyFont="1" applyBorder="1" applyAlignment="1">
      <alignment horizontal="center"/>
      <protection/>
    </xf>
    <xf numFmtId="0" fontId="11" fillId="0" borderId="41" xfId="36" applyFont="1" applyBorder="1" applyAlignment="1">
      <alignment horizontal="center"/>
      <protection/>
    </xf>
    <xf numFmtId="0" fontId="13" fillId="0" borderId="13" xfId="36" applyFont="1" applyBorder="1" applyAlignment="1">
      <alignment horizontal="center"/>
      <protection/>
    </xf>
    <xf numFmtId="0" fontId="13" fillId="0" borderId="12" xfId="36" applyFont="1" applyBorder="1" applyAlignment="1">
      <alignment horizontal="center"/>
      <protection/>
    </xf>
    <xf numFmtId="0" fontId="80" fillId="0" borderId="42" xfId="36" applyFont="1" applyBorder="1" applyAlignment="1">
      <alignment horizontal="center"/>
      <protection/>
    </xf>
    <xf numFmtId="0" fontId="9" fillId="0" borderId="0" xfId="36" applyFont="1" applyAlignment="1">
      <alignment horizontal="center"/>
      <protection/>
    </xf>
    <xf numFmtId="0" fontId="8" fillId="0" borderId="0" xfId="36" applyFont="1" applyAlignment="1">
      <alignment horizontal="center"/>
      <protection/>
    </xf>
    <xf numFmtId="0" fontId="11" fillId="0" borderId="43" xfId="36" applyFont="1" applyBorder="1" applyAlignment="1">
      <alignment horizontal="center"/>
      <protection/>
    </xf>
    <xf numFmtId="0" fontId="57" fillId="0" borderId="27" xfId="36" applyFont="1" applyBorder="1" applyAlignment="1">
      <alignment horizontal="center"/>
      <protection/>
    </xf>
    <xf numFmtId="20" fontId="0" fillId="0" borderId="0" xfId="36" applyNumberFormat="1" applyFont="1" applyAlignment="1">
      <alignment horizontal="center"/>
      <protection/>
    </xf>
    <xf numFmtId="0" fontId="9" fillId="0" borderId="44" xfId="36" applyFont="1" applyBorder="1" applyAlignment="1">
      <alignment horizontal="center"/>
      <protection/>
    </xf>
    <xf numFmtId="0" fontId="8" fillId="0" borderId="44" xfId="36" applyFont="1" applyBorder="1" applyAlignment="1">
      <alignment horizontal="center"/>
      <protection/>
    </xf>
    <xf numFmtId="20" fontId="13" fillId="0" borderId="13" xfId="36" applyNumberFormat="1" applyFont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0" xfId="36" applyFont="1" applyAlignment="1">
      <alignment horizontal="center"/>
      <protection/>
    </xf>
    <xf numFmtId="0" fontId="0" fillId="0" borderId="12" xfId="36" applyFont="1" applyBorder="1">
      <alignment/>
      <protection/>
    </xf>
    <xf numFmtId="0" fontId="0" fillId="0" borderId="45" xfId="36" applyFont="1" applyBorder="1" applyAlignment="1">
      <alignment horizontal="center"/>
      <protection/>
    </xf>
    <xf numFmtId="0" fontId="11" fillId="0" borderId="46" xfId="36" applyFont="1" applyBorder="1" applyAlignment="1">
      <alignment horizontal="center"/>
      <protection/>
    </xf>
    <xf numFmtId="0" fontId="11" fillId="0" borderId="47" xfId="36" applyFont="1" applyBorder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20" fontId="13" fillId="0" borderId="12" xfId="36" applyNumberFormat="1" applyFont="1" applyBorder="1" applyAlignment="1">
      <alignment horizontal="center"/>
      <protection/>
    </xf>
    <xf numFmtId="0" fontId="13" fillId="0" borderId="22" xfId="36" applyFont="1" applyBorder="1" applyAlignment="1">
      <alignment horizontal="center"/>
      <protection/>
    </xf>
    <xf numFmtId="0" fontId="0" fillId="0" borderId="48" xfId="36" applyFont="1" applyBorder="1" applyAlignment="1">
      <alignment horizontal="center"/>
      <protection/>
    </xf>
    <xf numFmtId="0" fontId="0" fillId="0" borderId="21" xfId="36" applyFont="1" applyBorder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0" fillId="0" borderId="13" xfId="36" applyFont="1" applyBorder="1">
      <alignment/>
      <protection/>
    </xf>
    <xf numFmtId="0" fontId="0" fillId="0" borderId="14" xfId="0" applyBorder="1" applyAlignment="1">
      <alignment horizontal="center" vertical="center"/>
    </xf>
    <xf numFmtId="0" fontId="0" fillId="0" borderId="21" xfId="36" applyFont="1" applyBorder="1">
      <alignment/>
      <protection/>
    </xf>
    <xf numFmtId="20" fontId="13" fillId="0" borderId="13" xfId="36" applyNumberFormat="1" applyFont="1" applyBorder="1" applyAlignment="1">
      <alignment horizontal="center" vertical="center"/>
      <protection/>
    </xf>
    <xf numFmtId="0" fontId="13" fillId="0" borderId="12" xfId="36" applyFont="1" applyBorder="1" applyAlignment="1">
      <alignment horizontal="center" vertical="center"/>
      <protection/>
    </xf>
    <xf numFmtId="0" fontId="13" fillId="0" borderId="48" xfId="36" applyFont="1" applyBorder="1" applyAlignment="1">
      <alignment horizontal="center"/>
      <protection/>
    </xf>
    <xf numFmtId="0" fontId="13" fillId="0" borderId="27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31" fillId="0" borderId="4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13" fillId="0" borderId="0" xfId="36" applyFont="1">
      <alignment/>
      <protection/>
    </xf>
    <xf numFmtId="0" fontId="18" fillId="0" borderId="0" xfId="36" applyFont="1">
      <alignment/>
      <protection/>
    </xf>
    <xf numFmtId="0" fontId="87" fillId="0" borderId="0" xfId="36" applyFont="1">
      <alignment/>
      <protection/>
    </xf>
    <xf numFmtId="0" fontId="13" fillId="0" borderId="0" xfId="36" applyFont="1" applyAlignment="1">
      <alignment horizontal="left"/>
      <protection/>
    </xf>
    <xf numFmtId="0" fontId="13" fillId="0" borderId="0" xfId="36" applyFont="1" applyAlignment="1">
      <alignment horizontal="center"/>
      <protection/>
    </xf>
    <xf numFmtId="0" fontId="13" fillId="0" borderId="0" xfId="36" applyFont="1" applyAlignment="1">
      <alignment horizontal="center" vertical="center"/>
      <protection/>
    </xf>
    <xf numFmtId="0" fontId="32" fillId="0" borderId="0" xfId="36" applyFont="1">
      <alignment/>
      <protection/>
    </xf>
    <xf numFmtId="0" fontId="88" fillId="0" borderId="0" xfId="36" applyFont="1" applyAlignment="1">
      <alignment horizontal="center"/>
      <protection/>
    </xf>
    <xf numFmtId="0" fontId="13" fillId="0" borderId="13" xfId="36" applyFont="1" applyBorder="1" applyAlignment="1">
      <alignment horizontal="center"/>
      <protection/>
    </xf>
    <xf numFmtId="0" fontId="13" fillId="0" borderId="12" xfId="36" applyFont="1" applyBorder="1" applyAlignment="1">
      <alignment horizontal="center"/>
      <protection/>
    </xf>
    <xf numFmtId="0" fontId="13" fillId="33" borderId="12" xfId="36" applyFont="1" applyFill="1" applyBorder="1" applyAlignment="1">
      <alignment horizontal="center"/>
      <protection/>
    </xf>
    <xf numFmtId="0" fontId="13" fillId="0" borderId="22" xfId="36" applyFont="1" applyBorder="1" applyAlignment="1">
      <alignment horizontal="center"/>
      <protection/>
    </xf>
    <xf numFmtId="0" fontId="13" fillId="0" borderId="12" xfId="36" applyFont="1" applyBorder="1">
      <alignment/>
      <protection/>
    </xf>
    <xf numFmtId="0" fontId="13" fillId="0" borderId="16" xfId="36" applyFont="1" applyBorder="1" applyAlignment="1">
      <alignment horizontal="center"/>
      <protection/>
    </xf>
    <xf numFmtId="0" fontId="13" fillId="0" borderId="12" xfId="37" applyFont="1" applyBorder="1" applyAlignment="1">
      <alignment horizontal="center"/>
      <protection/>
    </xf>
    <xf numFmtId="0" fontId="13" fillId="33" borderId="12" xfId="37" applyFont="1" applyFill="1" applyBorder="1" applyAlignment="1">
      <alignment horizontal="center"/>
      <protection/>
    </xf>
    <xf numFmtId="0" fontId="13" fillId="0" borderId="15" xfId="36" applyFont="1" applyBorder="1" applyAlignment="1">
      <alignment horizontal="center"/>
      <protection/>
    </xf>
    <xf numFmtId="0" fontId="13" fillId="0" borderId="29" xfId="36" applyFont="1" applyBorder="1" applyAlignment="1">
      <alignment horizontal="center"/>
      <protection/>
    </xf>
    <xf numFmtId="0" fontId="13" fillId="37" borderId="13" xfId="37" applyFont="1" applyFill="1" applyBorder="1" applyAlignment="1">
      <alignment horizontal="center"/>
      <protection/>
    </xf>
    <xf numFmtId="0" fontId="13" fillId="37" borderId="15" xfId="37" applyFont="1" applyFill="1" applyBorder="1" applyAlignment="1">
      <alignment horizontal="right"/>
      <protection/>
    </xf>
    <xf numFmtId="0" fontId="13" fillId="37" borderId="15" xfId="37" applyFont="1" applyFill="1" applyBorder="1" applyAlignment="1">
      <alignment horizontal="left"/>
      <protection/>
    </xf>
    <xf numFmtId="0" fontId="13" fillId="37" borderId="15" xfId="37" applyFont="1" applyFill="1" applyBorder="1" applyAlignment="1">
      <alignment horizontal="center"/>
      <protection/>
    </xf>
    <xf numFmtId="0" fontId="13" fillId="37" borderId="0" xfId="37" applyFont="1" applyFill="1" applyAlignment="1">
      <alignment horizontal="center"/>
      <protection/>
    </xf>
    <xf numFmtId="0" fontId="13" fillId="37" borderId="17" xfId="37" applyFont="1" applyFill="1" applyBorder="1" applyAlignment="1">
      <alignment horizontal="center"/>
      <protection/>
    </xf>
    <xf numFmtId="0" fontId="13" fillId="37" borderId="32" xfId="36" applyFont="1" applyFill="1" applyBorder="1" applyAlignment="1">
      <alignment horizontal="center"/>
      <protection/>
    </xf>
    <xf numFmtId="0" fontId="13" fillId="37" borderId="12" xfId="36" applyFont="1" applyFill="1" applyBorder="1" applyAlignment="1">
      <alignment horizontal="center"/>
      <protection/>
    </xf>
    <xf numFmtId="0" fontId="13" fillId="0" borderId="0" xfId="36" applyFont="1" applyAlignment="1">
      <alignment horizontal="right"/>
      <protection/>
    </xf>
    <xf numFmtId="0" fontId="13" fillId="0" borderId="33" xfId="36" applyFont="1" applyBorder="1" applyAlignment="1">
      <alignment horizontal="center"/>
      <protection/>
    </xf>
    <xf numFmtId="0" fontId="13" fillId="35" borderId="15" xfId="37" applyFont="1" applyFill="1" applyBorder="1" applyAlignment="1">
      <alignment horizontal="right"/>
      <protection/>
    </xf>
    <xf numFmtId="0" fontId="13" fillId="33" borderId="15" xfId="37" applyFont="1" applyFill="1" applyBorder="1" applyAlignment="1">
      <alignment horizontal="left"/>
      <protection/>
    </xf>
    <xf numFmtId="0" fontId="13" fillId="0" borderId="15" xfId="37" applyFont="1" applyBorder="1" applyAlignment="1">
      <alignment horizontal="center"/>
      <protection/>
    </xf>
    <xf numFmtId="0" fontId="13" fillId="0" borderId="0" xfId="37" applyFont="1" applyAlignment="1">
      <alignment horizontal="center"/>
      <protection/>
    </xf>
    <xf numFmtId="0" fontId="13" fillId="0" borderId="17" xfId="37" applyFont="1" applyBorder="1" applyAlignment="1">
      <alignment horizontal="center"/>
      <protection/>
    </xf>
    <xf numFmtId="0" fontId="13" fillId="0" borderId="32" xfId="36" applyFont="1" applyBorder="1" applyAlignment="1">
      <alignment horizontal="center"/>
      <protection/>
    </xf>
    <xf numFmtId="0" fontId="13" fillId="0" borderId="12" xfId="36" applyFont="1" applyBorder="1" applyAlignment="1">
      <alignment horizontal="left"/>
      <protection/>
    </xf>
    <xf numFmtId="0" fontId="13" fillId="0" borderId="13" xfId="37" applyFont="1" applyBorder="1" applyAlignment="1">
      <alignment horizontal="center"/>
      <protection/>
    </xf>
    <xf numFmtId="0" fontId="13" fillId="37" borderId="12" xfId="37" applyFont="1" applyFill="1" applyBorder="1" applyAlignment="1">
      <alignment horizontal="center"/>
      <protection/>
    </xf>
    <xf numFmtId="0" fontId="14" fillId="0" borderId="12" xfId="36" applyFont="1" applyBorder="1" applyAlignment="1">
      <alignment horizontal="left"/>
      <protection/>
    </xf>
    <xf numFmtId="0" fontId="13" fillId="35" borderId="27" xfId="37" applyFont="1" applyFill="1" applyBorder="1" applyAlignment="1">
      <alignment horizontal="right"/>
      <protection/>
    </xf>
    <xf numFmtId="0" fontId="13" fillId="33" borderId="27" xfId="37" applyFont="1" applyFill="1" applyBorder="1" applyAlignment="1">
      <alignment horizontal="left"/>
      <protection/>
    </xf>
    <xf numFmtId="0" fontId="13" fillId="0" borderId="34" xfId="37" applyFont="1" applyBorder="1" applyAlignment="1">
      <alignment horizontal="center"/>
      <protection/>
    </xf>
    <xf numFmtId="0" fontId="13" fillId="0" borderId="10" xfId="37" applyFont="1" applyBorder="1" applyAlignment="1">
      <alignment horizontal="center"/>
      <protection/>
    </xf>
    <xf numFmtId="0" fontId="13" fillId="0" borderId="26" xfId="37" applyFont="1" applyBorder="1" applyAlignment="1">
      <alignment horizontal="center"/>
      <protection/>
    </xf>
    <xf numFmtId="0" fontId="13" fillId="33" borderId="13" xfId="37" applyFont="1" applyFill="1" applyBorder="1" applyAlignment="1">
      <alignment horizontal="left"/>
      <protection/>
    </xf>
    <xf numFmtId="0" fontId="13" fillId="0" borderId="28" xfId="37" applyFont="1" applyBorder="1" applyAlignment="1">
      <alignment horizontal="center"/>
      <protection/>
    </xf>
    <xf numFmtId="0" fontId="13" fillId="0" borderId="14" xfId="37" applyFont="1" applyBorder="1" applyAlignment="1">
      <alignment horizontal="center"/>
      <protection/>
    </xf>
    <xf numFmtId="0" fontId="13" fillId="35" borderId="16" xfId="37" applyFont="1" applyFill="1" applyBorder="1" applyAlignment="1">
      <alignment horizontal="right"/>
      <protection/>
    </xf>
    <xf numFmtId="0" fontId="13" fillId="33" borderId="16" xfId="37" applyFont="1" applyFill="1" applyBorder="1" applyAlignment="1">
      <alignment horizontal="left"/>
      <protection/>
    </xf>
    <xf numFmtId="0" fontId="13" fillId="35" borderId="0" xfId="37" applyFont="1" applyFill="1" applyAlignment="1">
      <alignment horizontal="right"/>
      <protection/>
    </xf>
    <xf numFmtId="0" fontId="13" fillId="0" borderId="11" xfId="37" applyFont="1" applyBorder="1" applyAlignment="1">
      <alignment horizontal="center"/>
      <protection/>
    </xf>
    <xf numFmtId="0" fontId="13" fillId="35" borderId="13" xfId="37" applyFont="1" applyFill="1" applyBorder="1" applyAlignment="1">
      <alignment horizontal="right"/>
      <protection/>
    </xf>
    <xf numFmtId="0" fontId="13" fillId="0" borderId="35" xfId="36" applyFont="1" applyBorder="1" applyAlignment="1">
      <alignment horizontal="center"/>
      <protection/>
    </xf>
    <xf numFmtId="0" fontId="13" fillId="35" borderId="34" xfId="37" applyFont="1" applyFill="1" applyBorder="1" applyAlignment="1">
      <alignment horizontal="right"/>
      <protection/>
    </xf>
    <xf numFmtId="0" fontId="13" fillId="0" borderId="54" xfId="36" applyFont="1" applyBorder="1" applyAlignment="1">
      <alignment horizontal="center"/>
      <protection/>
    </xf>
    <xf numFmtId="0" fontId="13" fillId="0" borderId="36" xfId="36" applyFont="1" applyBorder="1">
      <alignment/>
      <protection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93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31" fillId="0" borderId="5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5" fillId="34" borderId="25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5" fillId="34" borderId="2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13" fillId="0" borderId="61" xfId="0" applyFont="1" applyBorder="1" applyAlignment="1">
      <alignment vertical="center"/>
    </xf>
    <xf numFmtId="0" fontId="31" fillId="0" borderId="6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38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63" xfId="36" applyFont="1" applyBorder="1" applyAlignment="1">
      <alignment horizontal="center"/>
      <protection/>
    </xf>
    <xf numFmtId="0" fontId="13" fillId="39" borderId="13" xfId="36" applyFont="1" applyFill="1" applyBorder="1" applyAlignment="1">
      <alignment horizontal="center"/>
      <protection/>
    </xf>
    <xf numFmtId="0" fontId="57" fillId="39" borderId="27" xfId="36" applyFont="1" applyFill="1" applyBorder="1" applyAlignment="1">
      <alignment horizontal="center"/>
      <protection/>
    </xf>
    <xf numFmtId="0" fontId="13" fillId="39" borderId="12" xfId="36" applyFont="1" applyFill="1" applyBorder="1" applyAlignment="1">
      <alignment horizontal="center"/>
      <protection/>
    </xf>
    <xf numFmtId="20" fontId="13" fillId="39" borderId="13" xfId="36" applyNumberFormat="1" applyFont="1" applyFill="1" applyBorder="1" applyAlignment="1">
      <alignment horizontal="center"/>
      <protection/>
    </xf>
    <xf numFmtId="0" fontId="13" fillId="39" borderId="12" xfId="0" applyFont="1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20" fontId="13" fillId="39" borderId="12" xfId="36" applyNumberFormat="1" applyFont="1" applyFill="1" applyBorder="1" applyAlignment="1">
      <alignment horizontal="center"/>
      <protection/>
    </xf>
    <xf numFmtId="0" fontId="0" fillId="39" borderId="12" xfId="36" applyFill="1" applyBorder="1">
      <alignment/>
      <protection/>
    </xf>
    <xf numFmtId="0" fontId="13" fillId="0" borderId="22" xfId="36" applyFont="1" applyBorder="1" applyAlignment="1">
      <alignment horizontal="center" vertical="center"/>
      <protection/>
    </xf>
    <xf numFmtId="0" fontId="13" fillId="0" borderId="21" xfId="36" applyFont="1" applyBorder="1" applyAlignment="1">
      <alignment horizontal="center"/>
      <protection/>
    </xf>
    <xf numFmtId="0" fontId="13" fillId="0" borderId="63" xfId="36" applyFont="1" applyBorder="1" applyAlignment="1">
      <alignment horizontal="center" vertical="center"/>
      <protection/>
    </xf>
    <xf numFmtId="0" fontId="13" fillId="0" borderId="63" xfId="36" applyFont="1" applyBorder="1" applyAlignment="1">
      <alignment horizontal="center"/>
      <protection/>
    </xf>
    <xf numFmtId="0" fontId="13" fillId="0" borderId="27" xfId="36" applyFont="1" applyBorder="1" applyAlignment="1">
      <alignment horizontal="center"/>
      <protection/>
    </xf>
    <xf numFmtId="20" fontId="13" fillId="0" borderId="11" xfId="36" applyNumberFormat="1" applyFont="1" applyBorder="1" applyAlignment="1">
      <alignment horizontal="center"/>
      <protection/>
    </xf>
    <xf numFmtId="20" fontId="13" fillId="0" borderId="22" xfId="36" applyNumberFormat="1" applyFont="1" applyBorder="1" applyAlignment="1">
      <alignment horizontal="center"/>
      <protection/>
    </xf>
    <xf numFmtId="0" fontId="57" fillId="0" borderId="16" xfId="36" applyFont="1" applyBorder="1" applyAlignment="1">
      <alignment horizontal="center"/>
      <protection/>
    </xf>
    <xf numFmtId="0" fontId="13" fillId="0" borderId="63" xfId="0" applyFont="1" applyBorder="1" applyAlignment="1">
      <alignment horizontal="center" vertical="center"/>
    </xf>
    <xf numFmtId="0" fontId="32" fillId="40" borderId="12" xfId="0" applyFont="1" applyFill="1" applyBorder="1" applyAlignment="1">
      <alignment horizontal="center" vertical="center"/>
    </xf>
    <xf numFmtId="0" fontId="13" fillId="0" borderId="27" xfId="35" applyFont="1" applyBorder="1" applyAlignment="1">
      <alignment horizontal="center"/>
      <protection/>
    </xf>
    <xf numFmtId="0" fontId="13" fillId="0" borderId="63" xfId="35" applyFont="1" applyBorder="1" applyAlignment="1">
      <alignment horizontal="center"/>
      <protection/>
    </xf>
    <xf numFmtId="0" fontId="13" fillId="0" borderId="0" xfId="35" applyFont="1" applyAlignment="1">
      <alignment horizontal="left" vertical="center"/>
      <protection/>
    </xf>
    <xf numFmtId="0" fontId="13" fillId="0" borderId="12" xfId="35" applyFont="1" applyBorder="1">
      <alignment/>
      <protection/>
    </xf>
    <xf numFmtId="0" fontId="13" fillId="0" borderId="12" xfId="35" applyFont="1" applyBorder="1" applyAlignment="1">
      <alignment horizontal="left"/>
      <protection/>
    </xf>
    <xf numFmtId="0" fontId="13" fillId="0" borderId="64" xfId="35" applyFont="1" applyBorder="1" applyAlignment="1">
      <alignment horizontal="center"/>
      <protection/>
    </xf>
    <xf numFmtId="0" fontId="13" fillId="0" borderId="22" xfId="35" applyFont="1" applyBorder="1" applyAlignment="1">
      <alignment horizontal="center"/>
      <protection/>
    </xf>
    <xf numFmtId="0" fontId="142" fillId="0" borderId="12" xfId="35" applyFont="1" applyBorder="1" applyAlignment="1">
      <alignment horizontal="center"/>
      <protection/>
    </xf>
    <xf numFmtId="0" fontId="142" fillId="0" borderId="63" xfId="35" applyFont="1" applyBorder="1" applyAlignment="1">
      <alignment horizontal="center"/>
      <protection/>
    </xf>
    <xf numFmtId="0" fontId="3" fillId="0" borderId="0" xfId="40" applyFont="1" applyAlignment="1">
      <alignment horizontal="left"/>
      <protection/>
    </xf>
    <xf numFmtId="0" fontId="3" fillId="0" borderId="0" xfId="40" applyFont="1" applyAlignment="1">
      <alignment horizontal="right"/>
      <protection/>
    </xf>
    <xf numFmtId="0" fontId="3" fillId="0" borderId="0" xfId="40" applyFont="1">
      <alignment/>
      <protection/>
    </xf>
    <xf numFmtId="0" fontId="3" fillId="0" borderId="12" xfId="40" applyFont="1" applyBorder="1" applyAlignment="1">
      <alignment horizontal="center" vertical="top" wrapText="1"/>
      <protection/>
    </xf>
    <xf numFmtId="0" fontId="3" fillId="0" borderId="21" xfId="40" applyFont="1" applyBorder="1" applyAlignment="1">
      <alignment horizontal="center" vertical="top" wrapText="1"/>
      <protection/>
    </xf>
    <xf numFmtId="0" fontId="3" fillId="0" borderId="0" xfId="40" applyFont="1" applyAlignment="1">
      <alignment horizontal="center" vertical="top" wrapText="1"/>
      <protection/>
    </xf>
    <xf numFmtId="0" fontId="3" fillId="0" borderId="27" xfId="40" applyFont="1" applyBorder="1" applyAlignment="1">
      <alignment horizontal="center" vertical="top" wrapText="1"/>
      <protection/>
    </xf>
    <xf numFmtId="0" fontId="3" fillId="0" borderId="26" xfId="40" applyFont="1" applyBorder="1" applyAlignment="1">
      <alignment horizontal="center" vertical="top" wrapText="1"/>
      <protection/>
    </xf>
    <xf numFmtId="0" fontId="37" fillId="0" borderId="0" xfId="40" applyFont="1" applyAlignment="1">
      <alignment horizontal="left"/>
      <protection/>
    </xf>
    <xf numFmtId="0" fontId="3" fillId="0" borderId="0" xfId="40" applyFont="1" applyAlignment="1">
      <alignment horizontal="center"/>
      <protection/>
    </xf>
    <xf numFmtId="0" fontId="62" fillId="0" borderId="10" xfId="40" applyFont="1" applyBorder="1">
      <alignment/>
      <protection/>
    </xf>
    <xf numFmtId="0" fontId="77" fillId="0" borderId="12" xfId="35" applyFont="1" applyBorder="1" applyAlignment="1">
      <alignment horizontal="left"/>
      <protection/>
    </xf>
    <xf numFmtId="0" fontId="62" fillId="0" borderId="0" xfId="40" applyFont="1" applyAlignment="1">
      <alignment horizontal="right"/>
      <protection/>
    </xf>
    <xf numFmtId="0" fontId="43" fillId="0" borderId="10" xfId="40" applyFont="1" applyBorder="1">
      <alignment/>
      <protection/>
    </xf>
    <xf numFmtId="0" fontId="43" fillId="0" borderId="0" xfId="40" applyFont="1">
      <alignment/>
      <protection/>
    </xf>
    <xf numFmtId="190" fontId="44" fillId="0" borderId="17" xfId="40" applyNumberFormat="1" applyFont="1" applyBorder="1" applyAlignment="1">
      <alignment horizontal="center"/>
      <protection/>
    </xf>
    <xf numFmtId="0" fontId="96" fillId="0" borderId="0" xfId="40" applyFont="1" applyAlignment="1">
      <alignment horizontal="center"/>
      <protection/>
    </xf>
    <xf numFmtId="0" fontId="96" fillId="0" borderId="17" xfId="40" applyFont="1" applyBorder="1" applyAlignment="1">
      <alignment horizontal="center"/>
      <protection/>
    </xf>
    <xf numFmtId="0" fontId="97" fillId="0" borderId="0" xfId="40" applyFont="1" applyAlignment="1">
      <alignment horizontal="center"/>
      <protection/>
    </xf>
    <xf numFmtId="0" fontId="43" fillId="0" borderId="17" xfId="40" applyFont="1" applyBorder="1" applyAlignment="1">
      <alignment horizontal="center"/>
      <protection/>
    </xf>
    <xf numFmtId="0" fontId="43" fillId="0" borderId="10" xfId="40" applyFont="1" applyBorder="1" applyAlignment="1">
      <alignment horizontal="center"/>
      <protection/>
    </xf>
    <xf numFmtId="0" fontId="44" fillId="0" borderId="0" xfId="40" applyFont="1" applyAlignment="1">
      <alignment horizontal="center"/>
      <protection/>
    </xf>
    <xf numFmtId="0" fontId="44" fillId="0" borderId="12" xfId="40" applyFont="1" applyBorder="1" applyAlignment="1">
      <alignment horizontal="center"/>
      <protection/>
    </xf>
    <xf numFmtId="0" fontId="43" fillId="0" borderId="34" xfId="40" applyFont="1" applyBorder="1">
      <alignment/>
      <protection/>
    </xf>
    <xf numFmtId="0" fontId="97" fillId="0" borderId="17" xfId="40" applyFont="1" applyBorder="1" applyAlignment="1">
      <alignment horizontal="center"/>
      <protection/>
    </xf>
    <xf numFmtId="0" fontId="3" fillId="0" borderId="10" xfId="40" applyFont="1" applyBorder="1">
      <alignment/>
      <protection/>
    </xf>
    <xf numFmtId="0" fontId="3" fillId="0" borderId="17" xfId="40" applyFont="1" applyBorder="1">
      <alignment/>
      <protection/>
    </xf>
    <xf numFmtId="0" fontId="49" fillId="0" borderId="17" xfId="0" applyFont="1" applyBorder="1" applyAlignment="1">
      <alignment vertical="center"/>
    </xf>
    <xf numFmtId="0" fontId="3" fillId="0" borderId="11" xfId="40" applyFont="1" applyBorder="1">
      <alignment/>
      <protection/>
    </xf>
    <xf numFmtId="0" fontId="49" fillId="0" borderId="27" xfId="0" applyFont="1" applyBorder="1" applyAlignment="1">
      <alignment vertical="center"/>
    </xf>
    <xf numFmtId="0" fontId="77" fillId="0" borderId="14" xfId="35" applyFont="1" applyBorder="1" applyAlignment="1">
      <alignment horizontal="left"/>
      <protection/>
    </xf>
    <xf numFmtId="0" fontId="43" fillId="0" borderId="15" xfId="40" applyFont="1" applyBorder="1" applyAlignment="1">
      <alignment horizontal="center"/>
      <protection/>
    </xf>
    <xf numFmtId="0" fontId="43" fillId="0" borderId="11" xfId="40" applyFont="1" applyBorder="1">
      <alignment/>
      <protection/>
    </xf>
    <xf numFmtId="0" fontId="43" fillId="0" borderId="65" xfId="40" applyFont="1" applyBorder="1" applyAlignment="1">
      <alignment horizontal="center"/>
      <protection/>
    </xf>
    <xf numFmtId="0" fontId="3" fillId="0" borderId="65" xfId="40" applyFont="1" applyBorder="1">
      <alignment/>
      <protection/>
    </xf>
    <xf numFmtId="0" fontId="3" fillId="0" borderId="0" xfId="0" applyFont="1" applyAlignment="1">
      <alignment horizontal="center"/>
    </xf>
    <xf numFmtId="0" fontId="40" fillId="0" borderId="14" xfId="40" applyFont="1" applyBorder="1">
      <alignment/>
      <protection/>
    </xf>
    <xf numFmtId="0" fontId="41" fillId="0" borderId="11" xfId="40" applyFont="1" applyBorder="1">
      <alignment/>
      <protection/>
    </xf>
    <xf numFmtId="0" fontId="36" fillId="0" borderId="65" xfId="40" applyFont="1" applyBorder="1">
      <alignment/>
      <protection/>
    </xf>
    <xf numFmtId="0" fontId="142" fillId="0" borderId="0" xfId="35" applyFont="1">
      <alignment/>
      <protection/>
    </xf>
    <xf numFmtId="0" fontId="143" fillId="0" borderId="0" xfId="35" applyFont="1">
      <alignment/>
      <protection/>
    </xf>
    <xf numFmtId="0" fontId="144" fillId="0" borderId="0" xfId="35" applyFont="1">
      <alignment/>
      <protection/>
    </xf>
    <xf numFmtId="0" fontId="142" fillId="0" borderId="0" xfId="35" applyFont="1" applyAlignment="1">
      <alignment horizontal="left"/>
      <protection/>
    </xf>
    <xf numFmtId="0" fontId="142" fillId="0" borderId="0" xfId="35" applyFont="1" applyAlignment="1">
      <alignment horizontal="center"/>
      <protection/>
    </xf>
    <xf numFmtId="0" fontId="145" fillId="0" borderId="0" xfId="35" applyFont="1">
      <alignment/>
      <protection/>
    </xf>
    <xf numFmtId="0" fontId="146" fillId="0" borderId="0" xfId="35" applyFont="1">
      <alignment/>
      <protection/>
    </xf>
    <xf numFmtId="0" fontId="147" fillId="0" borderId="0" xfId="35" applyFont="1" applyAlignment="1">
      <alignment horizontal="center"/>
      <protection/>
    </xf>
    <xf numFmtId="0" fontId="142" fillId="0" borderId="13" xfId="35" applyFont="1" applyBorder="1" applyAlignment="1">
      <alignment horizontal="center"/>
      <protection/>
    </xf>
    <xf numFmtId="0" fontId="142" fillId="33" borderId="12" xfId="35" applyFont="1" applyFill="1" applyBorder="1" applyAlignment="1">
      <alignment horizontal="center"/>
      <protection/>
    </xf>
    <xf numFmtId="0" fontId="142" fillId="0" borderId="22" xfId="35" applyFont="1" applyBorder="1" applyAlignment="1">
      <alignment horizontal="center"/>
      <protection/>
    </xf>
    <xf numFmtId="0" fontId="142" fillId="0" borderId="12" xfId="35" applyFont="1" applyBorder="1">
      <alignment/>
      <protection/>
    </xf>
    <xf numFmtId="0" fontId="142" fillId="0" borderId="0" xfId="35" applyFont="1" applyAlignment="1">
      <alignment horizontal="right"/>
      <protection/>
    </xf>
    <xf numFmtId="0" fontId="142" fillId="0" borderId="16" xfId="35" applyFont="1" applyBorder="1" applyAlignment="1">
      <alignment horizontal="center"/>
      <protection/>
    </xf>
    <xf numFmtId="0" fontId="142" fillId="0" borderId="12" xfId="39" applyFont="1" applyBorder="1" applyAlignment="1">
      <alignment horizontal="center"/>
      <protection/>
    </xf>
    <xf numFmtId="0" fontId="142" fillId="33" borderId="12" xfId="39" applyFont="1" applyFill="1" applyBorder="1" applyAlignment="1">
      <alignment horizontal="center"/>
      <protection/>
    </xf>
    <xf numFmtId="0" fontId="142" fillId="0" borderId="15" xfId="35" applyFont="1" applyBorder="1" applyAlignment="1">
      <alignment horizontal="center"/>
      <protection/>
    </xf>
    <xf numFmtId="0" fontId="142" fillId="0" borderId="12" xfId="35" applyFont="1" applyBorder="1" applyAlignment="1">
      <alignment horizontal="left"/>
      <protection/>
    </xf>
    <xf numFmtId="0" fontId="142" fillId="0" borderId="29" xfId="35" applyFont="1" applyBorder="1" applyAlignment="1">
      <alignment horizontal="center"/>
      <protection/>
    </xf>
    <xf numFmtId="0" fontId="142" fillId="0" borderId="13" xfId="39" applyFont="1" applyBorder="1" applyAlignment="1">
      <alignment horizontal="center"/>
      <protection/>
    </xf>
    <xf numFmtId="0" fontId="142" fillId="35" borderId="15" xfId="39" applyFont="1" applyFill="1" applyBorder="1" applyAlignment="1">
      <alignment horizontal="right"/>
      <protection/>
    </xf>
    <xf numFmtId="0" fontId="142" fillId="33" borderId="15" xfId="39" applyFont="1" applyFill="1" applyBorder="1" applyAlignment="1">
      <alignment horizontal="left"/>
      <protection/>
    </xf>
    <xf numFmtId="0" fontId="142" fillId="0" borderId="30" xfId="35" applyFont="1" applyBorder="1" applyAlignment="1">
      <alignment horizontal="center"/>
      <protection/>
    </xf>
    <xf numFmtId="0" fontId="142" fillId="0" borderId="0" xfId="39" applyFont="1" applyAlignment="1">
      <alignment horizontal="center"/>
      <protection/>
    </xf>
    <xf numFmtId="0" fontId="142" fillId="0" borderId="31" xfId="35" applyFont="1" applyBorder="1" applyAlignment="1">
      <alignment horizontal="center"/>
      <protection/>
    </xf>
    <xf numFmtId="0" fontId="142" fillId="0" borderId="32" xfId="35" applyFont="1" applyBorder="1" applyAlignment="1">
      <alignment horizontal="center"/>
      <protection/>
    </xf>
    <xf numFmtId="0" fontId="142" fillId="0" borderId="33" xfId="35" applyFont="1" applyBorder="1" applyAlignment="1">
      <alignment horizontal="center"/>
      <protection/>
    </xf>
    <xf numFmtId="0" fontId="142" fillId="0" borderId="17" xfId="35" applyFont="1" applyBorder="1" applyAlignment="1">
      <alignment horizontal="center"/>
      <protection/>
    </xf>
    <xf numFmtId="0" fontId="142" fillId="35" borderId="27" xfId="39" applyFont="1" applyFill="1" applyBorder="1" applyAlignment="1">
      <alignment horizontal="right"/>
      <protection/>
    </xf>
    <xf numFmtId="0" fontId="142" fillId="33" borderId="27" xfId="39" applyFont="1" applyFill="1" applyBorder="1" applyAlignment="1">
      <alignment horizontal="left"/>
      <protection/>
    </xf>
    <xf numFmtId="0" fontId="142" fillId="0" borderId="34" xfId="35" applyFont="1" applyBorder="1" applyAlignment="1">
      <alignment horizontal="center"/>
      <protection/>
    </xf>
    <xf numFmtId="0" fontId="142" fillId="0" borderId="10" xfId="39" applyFont="1" applyBorder="1" applyAlignment="1">
      <alignment horizontal="center"/>
      <protection/>
    </xf>
    <xf numFmtId="0" fontId="142" fillId="0" borderId="26" xfId="35" applyFont="1" applyBorder="1" applyAlignment="1">
      <alignment horizontal="center"/>
      <protection/>
    </xf>
    <xf numFmtId="0" fontId="142" fillId="33" borderId="13" xfId="39" applyFont="1" applyFill="1" applyBorder="1" applyAlignment="1">
      <alignment horizontal="left"/>
      <protection/>
    </xf>
    <xf numFmtId="0" fontId="142" fillId="0" borderId="11" xfId="35" applyFont="1" applyBorder="1" applyAlignment="1">
      <alignment horizontal="center"/>
      <protection/>
    </xf>
    <xf numFmtId="0" fontId="142" fillId="0" borderId="28" xfId="39" applyFont="1" applyBorder="1" applyAlignment="1">
      <alignment horizontal="center"/>
      <protection/>
    </xf>
    <xf numFmtId="0" fontId="142" fillId="0" borderId="14" xfId="35" applyFont="1" applyBorder="1" applyAlignment="1">
      <alignment horizontal="center"/>
      <protection/>
    </xf>
    <xf numFmtId="0" fontId="142" fillId="35" borderId="16" xfId="39" applyFont="1" applyFill="1" applyBorder="1" applyAlignment="1">
      <alignment horizontal="right"/>
      <protection/>
    </xf>
    <xf numFmtId="0" fontId="142" fillId="33" borderId="16" xfId="39" applyFont="1" applyFill="1" applyBorder="1" applyAlignment="1">
      <alignment horizontal="left"/>
      <protection/>
    </xf>
    <xf numFmtId="0" fontId="142" fillId="0" borderId="35" xfId="35" applyFont="1" applyBorder="1" applyAlignment="1">
      <alignment horizontal="center"/>
      <protection/>
    </xf>
    <xf numFmtId="0" fontId="142" fillId="35" borderId="0" xfId="39" applyFont="1" applyFill="1" applyAlignment="1">
      <alignment horizontal="right"/>
      <protection/>
    </xf>
    <xf numFmtId="0" fontId="142" fillId="35" borderId="13" xfId="39" applyFont="1" applyFill="1" applyBorder="1" applyAlignment="1">
      <alignment horizontal="right"/>
      <protection/>
    </xf>
    <xf numFmtId="0" fontId="142" fillId="0" borderId="15" xfId="39" applyFont="1" applyBorder="1" applyAlignment="1">
      <alignment horizontal="center"/>
      <protection/>
    </xf>
    <xf numFmtId="0" fontId="142" fillId="0" borderId="17" xfId="39" applyFont="1" applyBorder="1" applyAlignment="1">
      <alignment horizontal="center"/>
      <protection/>
    </xf>
    <xf numFmtId="0" fontId="142" fillId="0" borderId="34" xfId="39" applyFont="1" applyBorder="1" applyAlignment="1">
      <alignment horizontal="center"/>
      <protection/>
    </xf>
    <xf numFmtId="0" fontId="142" fillId="0" borderId="26" xfId="39" applyFont="1" applyBorder="1" applyAlignment="1">
      <alignment horizontal="center"/>
      <protection/>
    </xf>
    <xf numFmtId="0" fontId="142" fillId="0" borderId="11" xfId="39" applyFont="1" applyBorder="1" applyAlignment="1">
      <alignment horizontal="center"/>
      <protection/>
    </xf>
    <xf numFmtId="0" fontId="142" fillId="0" borderId="14" xfId="39" applyFont="1" applyBorder="1" applyAlignment="1">
      <alignment horizontal="center"/>
      <protection/>
    </xf>
    <xf numFmtId="0" fontId="142" fillId="35" borderId="34" xfId="39" applyFont="1" applyFill="1" applyBorder="1" applyAlignment="1">
      <alignment horizontal="right"/>
      <protection/>
    </xf>
    <xf numFmtId="0" fontId="142" fillId="0" borderId="36" xfId="35" applyFont="1" applyBorder="1">
      <alignment/>
      <protection/>
    </xf>
    <xf numFmtId="0" fontId="142" fillId="41" borderId="12" xfId="35" applyFont="1" applyFill="1" applyBorder="1">
      <alignment/>
      <protection/>
    </xf>
    <xf numFmtId="0" fontId="142" fillId="41" borderId="12" xfId="35" applyFont="1" applyFill="1" applyBorder="1" applyAlignment="1">
      <alignment horizontal="left"/>
      <protection/>
    </xf>
    <xf numFmtId="0" fontId="87" fillId="0" borderId="0" xfId="35" applyFont="1">
      <alignment/>
      <protection/>
    </xf>
    <xf numFmtId="0" fontId="13" fillId="0" borderId="0" xfId="35" applyFont="1" applyAlignment="1">
      <alignment horizontal="center"/>
      <protection/>
    </xf>
    <xf numFmtId="0" fontId="18" fillId="0" borderId="0" xfId="35" applyFont="1">
      <alignment/>
      <protection/>
    </xf>
    <xf numFmtId="0" fontId="32" fillId="0" borderId="0" xfId="35" applyFont="1">
      <alignment/>
      <protection/>
    </xf>
    <xf numFmtId="0" fontId="88" fillId="0" borderId="0" xfId="35" applyFont="1" applyAlignment="1">
      <alignment horizontal="center"/>
      <protection/>
    </xf>
    <xf numFmtId="0" fontId="13" fillId="0" borderId="13" xfId="35" applyFont="1" applyBorder="1" applyAlignment="1">
      <alignment horizontal="center"/>
      <protection/>
    </xf>
    <xf numFmtId="0" fontId="13" fillId="0" borderId="12" xfId="35" applyFont="1" applyBorder="1">
      <alignment/>
      <protection/>
    </xf>
    <xf numFmtId="0" fontId="13" fillId="0" borderId="12" xfId="35" applyFont="1" applyBorder="1" applyAlignment="1">
      <alignment horizontal="left"/>
      <protection/>
    </xf>
    <xf numFmtId="0" fontId="13" fillId="0" borderId="32" xfId="36" applyFont="1" applyBorder="1" applyAlignment="1">
      <alignment horizontal="center"/>
      <protection/>
    </xf>
    <xf numFmtId="0" fontId="13" fillId="35" borderId="62" xfId="37" applyFont="1" applyFill="1" applyBorder="1" applyAlignment="1">
      <alignment horizontal="right"/>
      <protection/>
    </xf>
    <xf numFmtId="0" fontId="13" fillId="0" borderId="35" xfId="36" applyFont="1" applyBorder="1" applyAlignment="1">
      <alignment horizontal="center"/>
      <protection/>
    </xf>
    <xf numFmtId="0" fontId="99" fillId="0" borderId="12" xfId="35" applyFont="1" applyBorder="1" applyAlignment="1">
      <alignment horizontal="left"/>
      <protection/>
    </xf>
    <xf numFmtId="0" fontId="43" fillId="0" borderId="17" xfId="40" applyFont="1" applyBorder="1" applyAlignment="1">
      <alignment horizontal="right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17" xfId="40" applyFont="1" applyBorder="1" applyAlignment="1">
      <alignment horizontal="center"/>
      <protection/>
    </xf>
    <xf numFmtId="0" fontId="98" fillId="0" borderId="12" xfId="40" applyFont="1" applyBorder="1" applyAlignment="1">
      <alignment horizontal="center" vertical="center"/>
      <protection/>
    </xf>
    <xf numFmtId="0" fontId="52" fillId="0" borderId="12" xfId="40" applyFont="1" applyBorder="1" applyAlignment="1">
      <alignment horizontal="center" vertical="center"/>
      <protection/>
    </xf>
    <xf numFmtId="0" fontId="13" fillId="0" borderId="0" xfId="36" applyFont="1" applyAlignment="1">
      <alignment horizontal="left"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right" vertical="center"/>
      <protection/>
    </xf>
    <xf numFmtId="0" fontId="13" fillId="42" borderId="12" xfId="35" applyFont="1" applyFill="1" applyBorder="1" applyAlignment="1">
      <alignment horizontal="center"/>
      <protection/>
    </xf>
    <xf numFmtId="0" fontId="13" fillId="42" borderId="12" xfId="35" applyFont="1" applyFill="1" applyBorder="1" applyAlignment="1">
      <alignment horizontal="left"/>
      <protection/>
    </xf>
    <xf numFmtId="0" fontId="13" fillId="0" borderId="0" xfId="36" applyFont="1" applyAlignment="1">
      <alignment horizontal="left"/>
      <protection/>
    </xf>
    <xf numFmtId="0" fontId="13" fillId="42" borderId="12" xfId="36" applyFont="1" applyFill="1" applyBorder="1" applyAlignment="1">
      <alignment horizontal="center"/>
      <protection/>
    </xf>
    <xf numFmtId="0" fontId="13" fillId="0" borderId="30" xfId="36" applyFont="1" applyBorder="1" applyAlignment="1">
      <alignment horizontal="center"/>
      <protection/>
    </xf>
    <xf numFmtId="0" fontId="13" fillId="42" borderId="13" xfId="36" applyFont="1" applyFill="1" applyBorder="1" applyAlignment="1">
      <alignment horizontal="center"/>
      <protection/>
    </xf>
    <xf numFmtId="0" fontId="13" fillId="42" borderId="27" xfId="36" applyFont="1" applyFill="1" applyBorder="1" applyAlignment="1">
      <alignment horizontal="center"/>
      <protection/>
    </xf>
    <xf numFmtId="0" fontId="13" fillId="0" borderId="63" xfId="36" applyFont="1" applyBorder="1" applyAlignment="1">
      <alignment horizontal="center"/>
      <protection/>
    </xf>
    <xf numFmtId="0" fontId="13" fillId="0" borderId="12" xfId="36" applyFont="1" applyBorder="1" applyAlignment="1">
      <alignment horizontal="left"/>
      <protection/>
    </xf>
    <xf numFmtId="0" fontId="99" fillId="0" borderId="12" xfId="36" applyFont="1" applyBorder="1" applyAlignment="1">
      <alignment horizontal="left"/>
      <protection/>
    </xf>
    <xf numFmtId="0" fontId="13" fillId="42" borderId="12" xfId="36" applyFont="1" applyFill="1" applyBorder="1">
      <alignment/>
      <protection/>
    </xf>
    <xf numFmtId="0" fontId="13" fillId="42" borderId="12" xfId="36" applyFont="1" applyFill="1" applyBorder="1" applyAlignment="1">
      <alignment horizontal="left"/>
      <protection/>
    </xf>
    <xf numFmtId="0" fontId="13" fillId="0" borderId="12" xfId="36" applyFont="1" applyBorder="1" applyAlignment="1">
      <alignment horizontal="left"/>
      <protection/>
    </xf>
    <xf numFmtId="0" fontId="99" fillId="42" borderId="12" xfId="36" applyFont="1" applyFill="1" applyBorder="1" applyAlignment="1">
      <alignment horizontal="left"/>
      <protection/>
    </xf>
    <xf numFmtId="0" fontId="13" fillId="42" borderId="12" xfId="36" applyFont="1" applyFill="1" applyBorder="1" applyAlignment="1">
      <alignment horizontal="left"/>
      <protection/>
    </xf>
    <xf numFmtId="0" fontId="13" fillId="42" borderId="12" xfId="35" applyFont="1" applyFill="1" applyBorder="1">
      <alignment/>
      <protection/>
    </xf>
    <xf numFmtId="0" fontId="13" fillId="42" borderId="12" xfId="36" applyFont="1" applyFill="1" applyBorder="1">
      <alignment/>
      <protection/>
    </xf>
    <xf numFmtId="0" fontId="13" fillId="0" borderId="12" xfId="36" applyFont="1" applyBorder="1">
      <alignment/>
      <protection/>
    </xf>
    <xf numFmtId="0" fontId="84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2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right" vertical="center"/>
      <protection/>
    </xf>
    <xf numFmtId="0" fontId="100" fillId="0" borderId="17" xfId="0" applyFont="1" applyBorder="1" applyAlignment="1">
      <alignment horizontal="center"/>
    </xf>
    <xf numFmtId="49" fontId="101" fillId="0" borderId="17" xfId="40" applyNumberFormat="1" applyFont="1" applyBorder="1" applyAlignment="1">
      <alignment horizontal="center"/>
      <protection/>
    </xf>
    <xf numFmtId="0" fontId="148" fillId="0" borderId="17" xfId="0" applyFont="1" applyBorder="1" applyAlignment="1">
      <alignment horizontal="center"/>
    </xf>
    <xf numFmtId="49" fontId="102" fillId="0" borderId="17" xfId="40" applyNumberFormat="1" applyFont="1" applyBorder="1" applyAlignment="1">
      <alignment horizontal="center"/>
      <protection/>
    </xf>
    <xf numFmtId="0" fontId="40" fillId="0" borderId="27" xfId="40" applyFont="1" applyBorder="1" applyAlignment="1">
      <alignment horizontal="center"/>
      <protection/>
    </xf>
    <xf numFmtId="0" fontId="65" fillId="0" borderId="22" xfId="0" applyFont="1" applyBorder="1" applyAlignment="1">
      <alignment horizontal="center" vertical="center"/>
    </xf>
    <xf numFmtId="49" fontId="101" fillId="0" borderId="0" xfId="40" applyNumberFormat="1" applyFont="1" applyAlignment="1">
      <alignment horizontal="center"/>
      <protection/>
    </xf>
    <xf numFmtId="49" fontId="100" fillId="0" borderId="17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103" fillId="0" borderId="17" xfId="0" applyFont="1" applyBorder="1" applyAlignment="1">
      <alignment horizontal="center" vertical="center"/>
    </xf>
    <xf numFmtId="49" fontId="102" fillId="0" borderId="17" xfId="40" applyNumberFormat="1" applyFont="1" applyBorder="1" applyAlignment="1">
      <alignment horizontal="center" vertical="center"/>
      <protection/>
    </xf>
    <xf numFmtId="0" fontId="103" fillId="0" borderId="0" xfId="0" applyFont="1" applyAlignment="1">
      <alignment horizontal="center"/>
    </xf>
    <xf numFmtId="20" fontId="13" fillId="0" borderId="66" xfId="36" applyNumberFormat="1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3" fillId="0" borderId="12" xfId="35" applyFont="1" applyBorder="1" applyAlignment="1">
      <alignment horizontal="center"/>
      <protection/>
    </xf>
    <xf numFmtId="0" fontId="32" fillId="0" borderId="22" xfId="36" applyFont="1" applyBorder="1" applyAlignment="1">
      <alignment horizontal="center"/>
      <protection/>
    </xf>
    <xf numFmtId="0" fontId="146" fillId="0" borderId="22" xfId="35" applyFont="1" applyBorder="1" applyAlignment="1">
      <alignment horizontal="center"/>
      <protection/>
    </xf>
    <xf numFmtId="0" fontId="32" fillId="0" borderId="12" xfId="35" applyFont="1" applyBorder="1" applyAlignment="1">
      <alignment horizontal="center"/>
      <protection/>
    </xf>
    <xf numFmtId="0" fontId="13" fillId="0" borderId="12" xfId="36" applyFont="1" applyBorder="1" applyAlignment="1">
      <alignment horizontal="center"/>
      <protection/>
    </xf>
    <xf numFmtId="0" fontId="76" fillId="0" borderId="10" xfId="36" applyFont="1" applyBorder="1" applyAlignment="1">
      <alignment horizontal="center"/>
      <protection/>
    </xf>
    <xf numFmtId="0" fontId="76" fillId="0" borderId="0" xfId="36" applyFont="1" applyAlignment="1">
      <alignment horizontal="center"/>
      <protection/>
    </xf>
    <xf numFmtId="20" fontId="81" fillId="43" borderId="12" xfId="36" applyNumberFormat="1" applyFont="1" applyFill="1" applyBorder="1" applyAlignment="1">
      <alignment horizontal="center" vertical="center"/>
      <protection/>
    </xf>
    <xf numFmtId="0" fontId="13" fillId="39" borderId="12" xfId="36" applyFont="1" applyFill="1" applyBorder="1" applyAlignment="1">
      <alignment horizontal="center"/>
      <protection/>
    </xf>
    <xf numFmtId="0" fontId="75" fillId="0" borderId="0" xfId="36" applyFont="1" applyAlignment="1">
      <alignment horizontal="center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LCSDCup_Information" xfId="35"/>
    <cellStyle name="一般_LCSDCup_Information 2" xfId="36"/>
    <cellStyle name="一般_LCSDCup_Information_2005LCSD INFORMATION" xfId="37"/>
    <cellStyle name="一般_LCSDCup_Information_2005LCSD INFORMATION_INFORMATION OF GC2_2013" xfId="38"/>
    <cellStyle name="一般_LCSDCup_Information_2005LCSD INFORMATION_INFORMATION OF LCSD 2012" xfId="39"/>
    <cellStyle name="一般_MEN_32_To8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2">
    <dxf>
      <font>
        <b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2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09\vbahk_STAFF\Share(TKT)\&#27801;&#28760;&#25490;&#29699;(&#26412;&#22320;)\&#29699;&#21729;&#31309;&#20998;&#25490;&#21517;\pts_of_players_updated_lcsd_cup_2018_by_Ronson_201904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AHK_TKT\share\Documents%20and%20Settings\djchrisilver\My%20Documents\Downloads\Documents%20and%20Settings\djchrisilver\&#26700;&#38754;\2011-8%20competition\m\2012%20lcsd\ORMATION%20OF%20LCSD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"/>
      <sheetName val="Wo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須知"/>
      <sheetName val="MAFormat"/>
      <sheetName val="MBFormat"/>
      <sheetName val="MD"/>
      <sheetName val="男甲賽程 "/>
      <sheetName val="男乙賽程"/>
      <sheetName val="WAFormat"/>
      <sheetName val="WBFormat"/>
      <sheetName val="WD"/>
      <sheetName val="女甲賽程"/>
      <sheetName val="女乙賽程"/>
      <sheetName val="TT"/>
    </sheetNames>
    <sheetDataSet>
      <sheetData sheetId="3">
        <row r="6">
          <cell r="B6" t="str">
            <v>A1</v>
          </cell>
          <cell r="C6">
            <v>1</v>
          </cell>
          <cell r="D6" t="str">
            <v>Oakley @ DOS</v>
          </cell>
          <cell r="E6" t="str">
            <v>黃俊偉</v>
          </cell>
          <cell r="F6">
            <v>120</v>
          </cell>
          <cell r="G6" t="str">
            <v>黃冠邦</v>
          </cell>
          <cell r="H6">
            <v>120</v>
          </cell>
        </row>
        <row r="7">
          <cell r="B7" t="str">
            <v>B1</v>
          </cell>
          <cell r="C7">
            <v>2</v>
          </cell>
          <cell r="D7" t="str">
            <v>SCAA WHITE</v>
          </cell>
          <cell r="E7" t="str">
            <v>李佳魯</v>
          </cell>
          <cell r="F7">
            <v>112.5</v>
          </cell>
          <cell r="G7" t="str">
            <v>徐錦龍</v>
          </cell>
          <cell r="H7">
            <v>111</v>
          </cell>
        </row>
        <row r="8">
          <cell r="B8" t="str">
            <v>C1</v>
          </cell>
          <cell r="C8">
            <v>3</v>
          </cell>
          <cell r="D8">
            <v>1988</v>
          </cell>
          <cell r="E8" t="str">
            <v>張富鍵</v>
          </cell>
          <cell r="F8">
            <v>103.5</v>
          </cell>
          <cell r="G8" t="str">
            <v>莊紀來</v>
          </cell>
          <cell r="H8">
            <v>103.5</v>
          </cell>
        </row>
        <row r="9">
          <cell r="B9" t="str">
            <v>D1</v>
          </cell>
          <cell r="C9">
            <v>4</v>
          </cell>
          <cell r="D9" t="str">
            <v>scaa-blue</v>
          </cell>
          <cell r="E9" t="str">
            <v>鄧耀文</v>
          </cell>
          <cell r="F9">
            <v>85.5</v>
          </cell>
          <cell r="G9" t="str">
            <v>余天樂</v>
          </cell>
          <cell r="H9">
            <v>85.5</v>
          </cell>
        </row>
        <row r="10">
          <cell r="B10" t="str">
            <v>E1</v>
          </cell>
          <cell r="C10">
            <v>5</v>
          </cell>
          <cell r="D10" t="str">
            <v>HKIEd</v>
          </cell>
          <cell r="E10" t="str">
            <v>杜顯陞</v>
          </cell>
          <cell r="F10">
            <v>75</v>
          </cell>
          <cell r="G10" t="str">
            <v>潘卓爾</v>
          </cell>
          <cell r="H10">
            <v>75</v>
          </cell>
        </row>
        <row r="11">
          <cell r="B11" t="str">
            <v>F1</v>
          </cell>
          <cell r="C11">
            <v>6</v>
          </cell>
          <cell r="D11" t="str">
            <v>Alps - Elite </v>
          </cell>
          <cell r="E11" t="str">
            <v>廖樞麒</v>
          </cell>
          <cell r="F11">
            <v>48</v>
          </cell>
          <cell r="G11" t="str">
            <v>余瑞琨 </v>
          </cell>
          <cell r="H11">
            <v>100.5</v>
          </cell>
        </row>
        <row r="12">
          <cell r="B12" t="str">
            <v>G1</v>
          </cell>
          <cell r="C12">
            <v>7</v>
          </cell>
          <cell r="D12" t="str">
            <v>ALPS - 大成</v>
          </cell>
          <cell r="E12" t="str">
            <v>鍾成輝</v>
          </cell>
          <cell r="F12">
            <v>72</v>
          </cell>
          <cell r="G12" t="str">
            <v>郭永輝</v>
          </cell>
          <cell r="H12">
            <v>72</v>
          </cell>
        </row>
        <row r="13">
          <cell r="B13">
            <v>0</v>
          </cell>
          <cell r="C13">
            <v>8</v>
          </cell>
          <cell r="D13" t="str">
            <v>仁二</v>
          </cell>
          <cell r="E13" t="str">
            <v>林靖皓</v>
          </cell>
          <cell r="F13">
            <v>69</v>
          </cell>
          <cell r="G13" t="str">
            <v>黃嘉潤</v>
          </cell>
          <cell r="H13">
            <v>69</v>
          </cell>
        </row>
        <row r="14">
          <cell r="B14">
            <v>0</v>
          </cell>
          <cell r="C14">
            <v>9</v>
          </cell>
          <cell r="D14" t="str">
            <v>思豪</v>
          </cell>
          <cell r="E14" t="str">
            <v>程文達</v>
          </cell>
          <cell r="F14">
            <v>49.5</v>
          </cell>
          <cell r="G14" t="str">
            <v>謝思豪</v>
          </cell>
          <cell r="H14">
            <v>88.5</v>
          </cell>
        </row>
        <row r="15">
          <cell r="B15" t="str">
            <v>G2</v>
          </cell>
          <cell r="C15">
            <v>10</v>
          </cell>
          <cell r="D15" t="str">
            <v>We r Angry</v>
          </cell>
          <cell r="E15" t="str">
            <v>伍鍵邦</v>
          </cell>
          <cell r="F15">
            <v>66</v>
          </cell>
          <cell r="G15" t="str">
            <v>許文威</v>
          </cell>
          <cell r="H15">
            <v>63</v>
          </cell>
        </row>
        <row r="16">
          <cell r="B16" t="str">
            <v>F2</v>
          </cell>
          <cell r="C16">
            <v>11</v>
          </cell>
          <cell r="D16" t="str">
            <v>長洲工業</v>
          </cell>
          <cell r="E16" t="str">
            <v>何卓昇</v>
          </cell>
          <cell r="F16">
            <v>52.5</v>
          </cell>
          <cell r="G16" t="str">
            <v>陳漢傑</v>
          </cell>
          <cell r="H16">
            <v>52.5</v>
          </cell>
        </row>
        <row r="17">
          <cell r="B17" t="str">
            <v>E2</v>
          </cell>
          <cell r="C17">
            <v>12</v>
          </cell>
          <cell r="D17" t="str">
            <v>紅藍</v>
          </cell>
          <cell r="E17" t="str">
            <v>蔡偉傑</v>
          </cell>
          <cell r="F17">
            <v>78</v>
          </cell>
          <cell r="G17" t="str">
            <v>黃偉熙</v>
          </cell>
          <cell r="H17">
            <v>24</v>
          </cell>
        </row>
        <row r="18">
          <cell r="B18" t="str">
            <v>D2</v>
          </cell>
          <cell r="C18">
            <v>13</v>
          </cell>
          <cell r="D18" t="str">
            <v>HELLO</v>
          </cell>
          <cell r="E18" t="str">
            <v>李智恒</v>
          </cell>
          <cell r="F18">
            <v>57</v>
          </cell>
          <cell r="G18" t="str">
            <v>梁焯垣</v>
          </cell>
          <cell r="H18">
            <v>30</v>
          </cell>
        </row>
        <row r="19">
          <cell r="B19" t="str">
            <v>C2</v>
          </cell>
          <cell r="C19">
            <v>14</v>
          </cell>
          <cell r="D19" t="str">
            <v>柏琦</v>
          </cell>
          <cell r="E19" t="str">
            <v>林柏均</v>
          </cell>
          <cell r="F19">
            <v>84</v>
          </cell>
          <cell r="G19" t="str">
            <v>林肇琦</v>
          </cell>
          <cell r="H19">
            <v>0</v>
          </cell>
        </row>
        <row r="20">
          <cell r="B20" t="str">
            <v>B2</v>
          </cell>
          <cell r="C20">
            <v>15</v>
          </cell>
          <cell r="D20" t="str">
            <v>Siu</v>
          </cell>
          <cell r="E20" t="str">
            <v>林仲軒</v>
          </cell>
          <cell r="F20">
            <v>75</v>
          </cell>
          <cell r="G20" t="str">
            <v>陳志威</v>
          </cell>
          <cell r="H20">
            <v>0</v>
          </cell>
        </row>
        <row r="21">
          <cell r="B21" t="str">
            <v>A2</v>
          </cell>
          <cell r="C21">
            <v>16</v>
          </cell>
          <cell r="D21" t="str">
            <v>隨心</v>
          </cell>
          <cell r="E21" t="str">
            <v>李霆峯</v>
          </cell>
          <cell r="F21">
            <v>36</v>
          </cell>
          <cell r="G21" t="str">
            <v>林永豪</v>
          </cell>
          <cell r="H21">
            <v>36</v>
          </cell>
        </row>
        <row r="22">
          <cell r="B22">
            <v>0</v>
          </cell>
          <cell r="C22">
            <v>17</v>
          </cell>
          <cell r="D22" t="str">
            <v>南華</v>
          </cell>
          <cell r="E22" t="str">
            <v>王龍</v>
          </cell>
          <cell r="F22">
            <v>30</v>
          </cell>
          <cell r="G22" t="str">
            <v>杜式樂</v>
          </cell>
          <cell r="H22">
            <v>30</v>
          </cell>
        </row>
        <row r="23">
          <cell r="B23">
            <v>0</v>
          </cell>
          <cell r="C23">
            <v>18</v>
          </cell>
          <cell r="D23" t="str">
            <v>律己嚴</v>
          </cell>
          <cell r="E23" t="str">
            <v>李偉邦</v>
          </cell>
          <cell r="F23">
            <v>30</v>
          </cell>
          <cell r="G23" t="str">
            <v>歐陽兆昕</v>
          </cell>
          <cell r="H23">
            <v>30</v>
          </cell>
        </row>
        <row r="24">
          <cell r="B24">
            <v>0</v>
          </cell>
          <cell r="C24">
            <v>19</v>
          </cell>
          <cell r="D24" t="str">
            <v>停賽</v>
          </cell>
          <cell r="E24" t="str">
            <v>古顯庭</v>
          </cell>
          <cell r="F24">
            <v>45</v>
          </cell>
          <cell r="G24" t="str">
            <v>蔡文昇</v>
          </cell>
          <cell r="H24">
            <v>15</v>
          </cell>
        </row>
        <row r="25">
          <cell r="B25">
            <v>0</v>
          </cell>
          <cell r="C25">
            <v>20</v>
          </cell>
          <cell r="D25" t="str">
            <v>SCAA  CT</v>
          </cell>
          <cell r="E25" t="str">
            <v>李家俊</v>
          </cell>
          <cell r="F25">
            <v>51</v>
          </cell>
          <cell r="G25" t="str">
            <v>胡俊冬</v>
          </cell>
          <cell r="H25">
            <v>9</v>
          </cell>
        </row>
        <row r="26">
          <cell r="B26" t="str">
            <v>E3</v>
          </cell>
          <cell r="C26">
            <v>21</v>
          </cell>
          <cell r="D26" t="str">
            <v>Volleyfever</v>
          </cell>
          <cell r="E26" t="str">
            <v>簡溢傑</v>
          </cell>
          <cell r="F26">
            <v>36</v>
          </cell>
          <cell r="G26" t="str">
            <v>吳鰹鳚</v>
          </cell>
          <cell r="H26">
            <v>18</v>
          </cell>
        </row>
        <row r="27">
          <cell r="B27" t="str">
            <v>F3</v>
          </cell>
          <cell r="C27">
            <v>22</v>
          </cell>
          <cell r="D27" t="str">
            <v>No idea</v>
          </cell>
          <cell r="E27" t="str">
            <v>黃溢隆</v>
          </cell>
          <cell r="F27">
            <v>51</v>
          </cell>
          <cell r="G27" t="str">
            <v>Raphael Holzer</v>
          </cell>
          <cell r="H27">
            <v>0</v>
          </cell>
        </row>
        <row r="28">
          <cell r="B28" t="str">
            <v>G3</v>
          </cell>
          <cell r="C28">
            <v>23</v>
          </cell>
          <cell r="D28" t="str">
            <v>吾煜德</v>
          </cell>
          <cell r="E28" t="str">
            <v>黃德賢</v>
          </cell>
          <cell r="F28">
            <v>0</v>
          </cell>
          <cell r="G28" t="str">
            <v>張煜俊</v>
          </cell>
          <cell r="H28">
            <v>36</v>
          </cell>
        </row>
        <row r="29">
          <cell r="B29" t="str">
            <v>H3</v>
          </cell>
          <cell r="C29">
            <v>24</v>
          </cell>
          <cell r="D29" t="str">
            <v>ALDA</v>
          </cell>
          <cell r="E29" t="str">
            <v>麥穎賢</v>
          </cell>
          <cell r="F29">
            <v>12</v>
          </cell>
          <cell r="G29" t="str">
            <v>廖俊杰</v>
          </cell>
          <cell r="H29">
            <v>21</v>
          </cell>
        </row>
        <row r="30">
          <cell r="B30" t="str">
            <v>H4</v>
          </cell>
          <cell r="C30">
            <v>25</v>
          </cell>
          <cell r="D30" t="str">
            <v>SLD2</v>
          </cell>
          <cell r="E30" t="str">
            <v>劉焯霆</v>
          </cell>
          <cell r="F30">
            <v>12</v>
          </cell>
          <cell r="G30" t="str">
            <v>丘至剛</v>
          </cell>
          <cell r="H30">
            <v>18</v>
          </cell>
        </row>
        <row r="31">
          <cell r="B31" t="str">
            <v>G4</v>
          </cell>
          <cell r="C31">
            <v>26</v>
          </cell>
          <cell r="D31" t="str">
            <v>青年B</v>
          </cell>
          <cell r="E31" t="str">
            <v>李梓恆</v>
          </cell>
          <cell r="F31">
            <v>15</v>
          </cell>
          <cell r="G31" t="str">
            <v>廖家勤</v>
          </cell>
          <cell r="H31">
            <v>12</v>
          </cell>
        </row>
        <row r="32">
          <cell r="B32" t="str">
            <v>F4</v>
          </cell>
          <cell r="C32">
            <v>27</v>
          </cell>
          <cell r="D32" t="str">
            <v>青年隊1</v>
          </cell>
          <cell r="E32" t="str">
            <v>李宇煌</v>
          </cell>
          <cell r="F32">
            <v>12</v>
          </cell>
          <cell r="G32" t="str">
            <v>梁智皓</v>
          </cell>
          <cell r="H32">
            <v>12</v>
          </cell>
        </row>
        <row r="33">
          <cell r="B33" t="str">
            <v>E4</v>
          </cell>
          <cell r="C33">
            <v>28</v>
          </cell>
          <cell r="D33" t="str">
            <v>青年隊A</v>
          </cell>
          <cell r="E33" t="str">
            <v>劉梓浩</v>
          </cell>
          <cell r="F33">
            <v>9</v>
          </cell>
          <cell r="G33" t="str">
            <v>蘇浚軒</v>
          </cell>
          <cell r="H33">
            <v>12</v>
          </cell>
        </row>
        <row r="34">
          <cell r="B34">
            <v>0</v>
          </cell>
          <cell r="C34">
            <v>29</v>
          </cell>
          <cell r="D34" t="str">
            <v>A&amp;E</v>
          </cell>
          <cell r="E34" t="str">
            <v>梁德鴻</v>
          </cell>
          <cell r="F34">
            <v>9</v>
          </cell>
          <cell r="G34" t="str">
            <v>顧家豪</v>
          </cell>
          <cell r="H34">
            <v>9</v>
          </cell>
        </row>
        <row r="35">
          <cell r="B35">
            <v>0</v>
          </cell>
          <cell r="C35">
            <v>30</v>
          </cell>
          <cell r="D35" t="str">
            <v>金難</v>
          </cell>
          <cell r="E35" t="str">
            <v>馮日進</v>
          </cell>
          <cell r="F35">
            <v>9</v>
          </cell>
          <cell r="G35" t="str">
            <v>劉冠峰</v>
          </cell>
          <cell r="H35">
            <v>9</v>
          </cell>
        </row>
        <row r="36">
          <cell r="B36">
            <v>0</v>
          </cell>
          <cell r="C36">
            <v>31</v>
          </cell>
          <cell r="D36" t="str">
            <v>KIM</v>
          </cell>
          <cell r="E36" t="str">
            <v>詹錦輝</v>
          </cell>
          <cell r="F36">
            <v>6</v>
          </cell>
          <cell r="G36" t="str">
            <v>何理棋</v>
          </cell>
          <cell r="H36">
            <v>6</v>
          </cell>
        </row>
        <row r="37">
          <cell r="B37">
            <v>0</v>
          </cell>
          <cell r="C37">
            <v>32</v>
          </cell>
          <cell r="D37" t="str">
            <v>SCAA - ShekO</v>
          </cell>
          <cell r="E37" t="str">
            <v>鄭晃彰</v>
          </cell>
          <cell r="F37">
            <v>3</v>
          </cell>
          <cell r="G37" t="str">
            <v>李可力</v>
          </cell>
          <cell r="H37">
            <v>9</v>
          </cell>
        </row>
        <row r="38">
          <cell r="B38">
            <v>0</v>
          </cell>
          <cell r="C38">
            <v>33</v>
          </cell>
          <cell r="D38" t="str">
            <v>柏青-k.y.</v>
          </cell>
          <cell r="E38" t="str">
            <v>吳嘉偉</v>
          </cell>
          <cell r="F38">
            <v>6</v>
          </cell>
          <cell r="G38" t="str">
            <v>蔣逸華</v>
          </cell>
          <cell r="H38">
            <v>6</v>
          </cell>
        </row>
        <row r="39">
          <cell r="B39">
            <v>0</v>
          </cell>
          <cell r="C39">
            <v>34</v>
          </cell>
          <cell r="D39" t="str">
            <v>青年C</v>
          </cell>
          <cell r="E39" t="str">
            <v>霍禮灝</v>
          </cell>
          <cell r="F39">
            <v>6</v>
          </cell>
          <cell r="G39" t="str">
            <v>曹業澤</v>
          </cell>
          <cell r="H39">
            <v>6</v>
          </cell>
        </row>
        <row r="40">
          <cell r="B40">
            <v>0</v>
          </cell>
          <cell r="C40">
            <v>35</v>
          </cell>
          <cell r="D40" t="str">
            <v>青年D</v>
          </cell>
          <cell r="E40" t="str">
            <v>曾浩深</v>
          </cell>
          <cell r="F40">
            <v>6</v>
          </cell>
          <cell r="G40" t="str">
            <v>楊萬富</v>
          </cell>
          <cell r="H40">
            <v>6</v>
          </cell>
        </row>
        <row r="41">
          <cell r="B41">
            <v>0</v>
          </cell>
          <cell r="C41">
            <v>36</v>
          </cell>
          <cell r="D41" t="str">
            <v>Ricci</v>
          </cell>
          <cell r="E41" t="str">
            <v>劉高駿</v>
          </cell>
          <cell r="F41">
            <v>3</v>
          </cell>
          <cell r="G41" t="str">
            <v>陳宇亮</v>
          </cell>
          <cell r="H41">
            <v>3</v>
          </cell>
        </row>
        <row r="42">
          <cell r="B42">
            <v>0</v>
          </cell>
          <cell r="C42">
            <v>37</v>
          </cell>
          <cell r="D42" t="str">
            <v>柏青-KW</v>
          </cell>
          <cell r="E42" t="str">
            <v>劉耀強</v>
          </cell>
          <cell r="F42">
            <v>3</v>
          </cell>
          <cell r="G42" t="str">
            <v>陳家良</v>
          </cell>
          <cell r="H42">
            <v>3</v>
          </cell>
        </row>
        <row r="43">
          <cell r="B43">
            <v>0</v>
          </cell>
          <cell r="C43">
            <v>38</v>
          </cell>
          <cell r="D43" t="str">
            <v>attach</v>
          </cell>
          <cell r="E43" t="str">
            <v>陳瑧善</v>
          </cell>
          <cell r="F43">
            <v>0</v>
          </cell>
          <cell r="G43" t="str">
            <v>趙文佳</v>
          </cell>
          <cell r="H43">
            <v>0</v>
          </cell>
        </row>
        <row r="44">
          <cell r="B44">
            <v>0</v>
          </cell>
          <cell r="C44">
            <v>39</v>
          </cell>
          <cell r="D44" t="str">
            <v>蛇紋熊</v>
          </cell>
          <cell r="E44" t="str">
            <v>陳梓鋒</v>
          </cell>
          <cell r="F44">
            <v>0</v>
          </cell>
          <cell r="G44" t="str">
            <v>吳瑋熙</v>
          </cell>
          <cell r="H44">
            <v>0</v>
          </cell>
        </row>
        <row r="45">
          <cell r="B45">
            <v>0</v>
          </cell>
          <cell r="C45">
            <v>40</v>
          </cell>
          <cell r="D45" t="str">
            <v>Amazing</v>
          </cell>
          <cell r="E45" t="str">
            <v>TANG LOK MING</v>
          </cell>
          <cell r="F45">
            <v>0</v>
          </cell>
          <cell r="G45" t="str">
            <v>LEE YING KIT</v>
          </cell>
          <cell r="H45">
            <v>0</v>
          </cell>
        </row>
        <row r="46">
          <cell r="B46">
            <v>0</v>
          </cell>
          <cell r="C46">
            <v>41</v>
          </cell>
          <cell r="D46" t="str">
            <v>諾森比亞</v>
          </cell>
          <cell r="E46" t="str">
            <v>陳暐晴</v>
          </cell>
          <cell r="F46">
            <v>0</v>
          </cell>
          <cell r="G46" t="str">
            <v>黃偉倫</v>
          </cell>
          <cell r="H46">
            <v>0</v>
          </cell>
        </row>
        <row r="47">
          <cell r="C47">
            <v>42</v>
          </cell>
        </row>
        <row r="48">
          <cell r="B48" t="str">
            <v>QB2</v>
          </cell>
          <cell r="C48">
            <v>53</v>
          </cell>
          <cell r="D48" t="str">
            <v>QB2</v>
          </cell>
        </row>
        <row r="49">
          <cell r="B49" t="str">
            <v>QB1</v>
          </cell>
          <cell r="C49">
            <v>54</v>
          </cell>
          <cell r="D49" t="str">
            <v>QB1</v>
          </cell>
        </row>
        <row r="50">
          <cell r="B50" t="str">
            <v>QA4</v>
          </cell>
          <cell r="C50">
            <v>55</v>
          </cell>
          <cell r="D50" t="str">
            <v>QA4</v>
          </cell>
        </row>
        <row r="51">
          <cell r="B51" t="str">
            <v>QA1</v>
          </cell>
          <cell r="C51">
            <v>56</v>
          </cell>
          <cell r="D51" t="str">
            <v>QA1</v>
          </cell>
        </row>
        <row r="52">
          <cell r="B52" t="str">
            <v>QA2</v>
          </cell>
          <cell r="C52">
            <v>57</v>
          </cell>
          <cell r="D52" t="str">
            <v>QA2</v>
          </cell>
        </row>
        <row r="53">
          <cell r="B53" t="str">
            <v>QA3</v>
          </cell>
          <cell r="C53">
            <v>58</v>
          </cell>
          <cell r="D53" t="str">
            <v>QA3</v>
          </cell>
        </row>
        <row r="54">
          <cell r="B54" t="str">
            <v>QB3</v>
          </cell>
          <cell r="D54" t="str">
            <v>QB3</v>
          </cell>
        </row>
        <row r="55">
          <cell r="B55" t="str">
            <v>QB4</v>
          </cell>
          <cell r="D55" t="str">
            <v>QB4</v>
          </cell>
        </row>
        <row r="56">
          <cell r="B56" t="str">
            <v>QC1</v>
          </cell>
          <cell r="D56" t="str">
            <v>QC1</v>
          </cell>
        </row>
        <row r="57">
          <cell r="B57" t="str">
            <v>QC2</v>
          </cell>
          <cell r="D57" t="str">
            <v>QC2</v>
          </cell>
        </row>
        <row r="58">
          <cell r="B58" t="str">
            <v>QC3</v>
          </cell>
          <cell r="D58" t="str">
            <v>QC3</v>
          </cell>
        </row>
        <row r="59">
          <cell r="B59" t="str">
            <v>QC4</v>
          </cell>
          <cell r="D59" t="str">
            <v>QC4</v>
          </cell>
        </row>
        <row r="60">
          <cell r="B60" t="str">
            <v>QD1</v>
          </cell>
          <cell r="D60" t="str">
            <v>QD1</v>
          </cell>
        </row>
        <row r="61">
          <cell r="B61" t="str">
            <v>QD2</v>
          </cell>
          <cell r="D61" t="str">
            <v>QD2</v>
          </cell>
        </row>
        <row r="62">
          <cell r="B62" t="str">
            <v>QD3</v>
          </cell>
          <cell r="D62" t="str">
            <v>QD3</v>
          </cell>
        </row>
        <row r="63">
          <cell r="B63" t="str">
            <v>QD4</v>
          </cell>
          <cell r="D63" t="str">
            <v>QD4</v>
          </cell>
        </row>
        <row r="64">
          <cell r="B64" t="str">
            <v>A1</v>
          </cell>
          <cell r="C64">
            <v>59</v>
          </cell>
          <cell r="D64" t="str">
            <v>A1</v>
          </cell>
        </row>
        <row r="65">
          <cell r="B65" t="str">
            <v>B1</v>
          </cell>
          <cell r="C65">
            <v>60</v>
          </cell>
          <cell r="D65" t="str">
            <v>B1</v>
          </cell>
          <cell r="F65">
            <v>1</v>
          </cell>
          <cell r="H65">
            <v>1</v>
          </cell>
        </row>
        <row r="66">
          <cell r="B66" t="str">
            <v>C1</v>
          </cell>
          <cell r="C66">
            <v>61</v>
          </cell>
          <cell r="D66" t="str">
            <v>C1</v>
          </cell>
          <cell r="F66">
            <v>2</v>
          </cell>
          <cell r="H66">
            <v>2</v>
          </cell>
        </row>
        <row r="67">
          <cell r="B67" t="str">
            <v>D1</v>
          </cell>
          <cell r="C67">
            <v>62</v>
          </cell>
          <cell r="D67" t="str">
            <v>D1</v>
          </cell>
          <cell r="F67">
            <v>3</v>
          </cell>
          <cell r="H67">
            <v>3</v>
          </cell>
        </row>
        <row r="68">
          <cell r="B68" t="str">
            <v>E1</v>
          </cell>
          <cell r="C68">
            <v>63</v>
          </cell>
          <cell r="D68" t="str">
            <v>E1</v>
          </cell>
          <cell r="F68">
            <v>4</v>
          </cell>
          <cell r="H68">
            <v>4</v>
          </cell>
        </row>
        <row r="69">
          <cell r="B69" t="str">
            <v>F1</v>
          </cell>
          <cell r="C69">
            <v>64</v>
          </cell>
          <cell r="D69" t="str">
            <v>F1</v>
          </cell>
          <cell r="F69">
            <v>5</v>
          </cell>
          <cell r="H69">
            <v>5</v>
          </cell>
        </row>
        <row r="70">
          <cell r="B70" t="str">
            <v>G1</v>
          </cell>
          <cell r="C70">
            <v>65</v>
          </cell>
          <cell r="D70" t="str">
            <v>G1</v>
          </cell>
          <cell r="F70">
            <v>6</v>
          </cell>
          <cell r="H70">
            <v>6</v>
          </cell>
        </row>
        <row r="71">
          <cell r="B71" t="str">
            <v>H1</v>
          </cell>
          <cell r="C71">
            <v>66</v>
          </cell>
          <cell r="D71" t="str">
            <v>H1</v>
          </cell>
          <cell r="F71">
            <v>0</v>
          </cell>
          <cell r="H71">
            <v>0</v>
          </cell>
        </row>
        <row r="72">
          <cell r="B72" t="str">
            <v>A2</v>
          </cell>
          <cell r="C72">
            <v>67</v>
          </cell>
          <cell r="D72" t="str">
            <v>A2</v>
          </cell>
          <cell r="F72">
            <v>0</v>
          </cell>
          <cell r="H72">
            <v>0</v>
          </cell>
        </row>
        <row r="73">
          <cell r="B73" t="str">
            <v>B2</v>
          </cell>
          <cell r="C73">
            <v>68</v>
          </cell>
          <cell r="D73" t="str">
            <v>B2</v>
          </cell>
          <cell r="F73">
            <v>0</v>
          </cell>
          <cell r="H73">
            <v>0</v>
          </cell>
        </row>
        <row r="74">
          <cell r="B74" t="str">
            <v>C2</v>
          </cell>
          <cell r="C74">
            <v>69</v>
          </cell>
          <cell r="D74" t="str">
            <v>C2</v>
          </cell>
          <cell r="F74">
            <v>0</v>
          </cell>
          <cell r="H74">
            <v>0</v>
          </cell>
        </row>
        <row r="75">
          <cell r="B75" t="str">
            <v>D2</v>
          </cell>
          <cell r="C75">
            <v>70</v>
          </cell>
          <cell r="D75" t="str">
            <v>D2</v>
          </cell>
          <cell r="F75">
            <v>0</v>
          </cell>
          <cell r="H75">
            <v>0</v>
          </cell>
        </row>
        <row r="76">
          <cell r="B76" t="str">
            <v>E2</v>
          </cell>
          <cell r="C76">
            <v>71</v>
          </cell>
          <cell r="D76" t="str">
            <v>E2</v>
          </cell>
          <cell r="E76">
            <v>0</v>
          </cell>
          <cell r="F76">
            <v>0</v>
          </cell>
          <cell r="H76">
            <v>0</v>
          </cell>
        </row>
        <row r="77">
          <cell r="B77" t="str">
            <v>F2</v>
          </cell>
          <cell r="C77">
            <v>72</v>
          </cell>
          <cell r="D77" t="str">
            <v>F2</v>
          </cell>
          <cell r="E77">
            <v>0</v>
          </cell>
          <cell r="F77">
            <v>0</v>
          </cell>
          <cell r="H77">
            <v>0</v>
          </cell>
        </row>
        <row r="78">
          <cell r="B78" t="str">
            <v>G2</v>
          </cell>
          <cell r="C78">
            <v>73</v>
          </cell>
          <cell r="D78" t="str">
            <v>G2</v>
          </cell>
          <cell r="E78">
            <v>0</v>
          </cell>
          <cell r="F78">
            <v>0</v>
          </cell>
          <cell r="H78">
            <v>0</v>
          </cell>
        </row>
        <row r="79">
          <cell r="B79" t="str">
            <v>H2</v>
          </cell>
          <cell r="C79">
            <v>74</v>
          </cell>
          <cell r="D79" t="str">
            <v>H2</v>
          </cell>
          <cell r="F79">
            <v>0</v>
          </cell>
          <cell r="H79">
            <v>0</v>
          </cell>
        </row>
        <row r="80">
          <cell r="B80" t="str">
            <v>A3</v>
          </cell>
          <cell r="C80">
            <v>75</v>
          </cell>
          <cell r="D80" t="str">
            <v>A3</v>
          </cell>
        </row>
        <row r="81">
          <cell r="B81" t="str">
            <v>B3</v>
          </cell>
          <cell r="C81">
            <v>76</v>
          </cell>
          <cell r="D81" t="str">
            <v>B3</v>
          </cell>
        </row>
        <row r="82">
          <cell r="B82" t="str">
            <v>C3</v>
          </cell>
          <cell r="C82">
            <v>77</v>
          </cell>
          <cell r="D82" t="str">
            <v>C3</v>
          </cell>
        </row>
        <row r="83">
          <cell r="B83" t="str">
            <v>D3</v>
          </cell>
          <cell r="C83">
            <v>78</v>
          </cell>
          <cell r="D83" t="str">
            <v>D3</v>
          </cell>
          <cell r="F83">
            <v>0</v>
          </cell>
          <cell r="H83">
            <v>0</v>
          </cell>
        </row>
        <row r="84">
          <cell r="B84" t="str">
            <v>E3</v>
          </cell>
          <cell r="C84">
            <v>79</v>
          </cell>
          <cell r="D84" t="str">
            <v>E3</v>
          </cell>
        </row>
        <row r="85">
          <cell r="B85" t="str">
            <v>F3</v>
          </cell>
          <cell r="C85">
            <v>80</v>
          </cell>
          <cell r="D85" t="str">
            <v>F3</v>
          </cell>
          <cell r="F85">
            <v>0</v>
          </cell>
          <cell r="H85">
            <v>0</v>
          </cell>
        </row>
        <row r="86">
          <cell r="B86" t="str">
            <v>G3</v>
          </cell>
          <cell r="C86">
            <v>81</v>
          </cell>
          <cell r="D86" t="str">
            <v>G3</v>
          </cell>
          <cell r="F86">
            <v>0</v>
          </cell>
          <cell r="H86">
            <v>0</v>
          </cell>
        </row>
        <row r="87">
          <cell r="B87" t="str">
            <v>H3</v>
          </cell>
          <cell r="C87">
            <v>82</v>
          </cell>
          <cell r="D87" t="str">
            <v>H3</v>
          </cell>
          <cell r="F87">
            <v>0</v>
          </cell>
          <cell r="H87">
            <v>0</v>
          </cell>
        </row>
        <row r="88">
          <cell r="B88" t="str">
            <v>A4</v>
          </cell>
          <cell r="C88">
            <v>83</v>
          </cell>
          <cell r="D88" t="str">
            <v>A4</v>
          </cell>
        </row>
        <row r="89">
          <cell r="B89" t="str">
            <v>B4</v>
          </cell>
          <cell r="C89">
            <v>84</v>
          </cell>
          <cell r="D89" t="str">
            <v>B4</v>
          </cell>
        </row>
        <row r="90">
          <cell r="B90" t="str">
            <v>C4</v>
          </cell>
          <cell r="C90">
            <v>85</v>
          </cell>
          <cell r="D90" t="str">
            <v>C4</v>
          </cell>
        </row>
        <row r="91">
          <cell r="B91" t="str">
            <v>D4</v>
          </cell>
          <cell r="C91">
            <v>86</v>
          </cell>
          <cell r="D91" t="str">
            <v>D4</v>
          </cell>
        </row>
        <row r="92">
          <cell r="B92" t="str">
            <v>F4</v>
          </cell>
          <cell r="C92">
            <v>87</v>
          </cell>
          <cell r="D92" t="str">
            <v>F4</v>
          </cell>
        </row>
        <row r="93">
          <cell r="B93" t="str">
            <v>G4</v>
          </cell>
          <cell r="C93">
            <v>88</v>
          </cell>
          <cell r="D93" t="str">
            <v>G4</v>
          </cell>
        </row>
        <row r="94">
          <cell r="B94" t="str">
            <v>H4</v>
          </cell>
          <cell r="C94">
            <v>89</v>
          </cell>
          <cell r="D94" t="str">
            <v>H4</v>
          </cell>
        </row>
        <row r="95">
          <cell r="B95" t="str">
            <v>E4</v>
          </cell>
          <cell r="C95">
            <v>90</v>
          </cell>
          <cell r="D95" t="str">
            <v>E4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10.875" style="1" customWidth="1"/>
    <col min="2" max="2" width="109.375" style="0" customWidth="1"/>
  </cols>
  <sheetData>
    <row r="1" ht="33" customHeight="1">
      <c r="B1" s="2" t="s">
        <v>0</v>
      </c>
    </row>
    <row r="2" spans="1:2" ht="27" customHeight="1">
      <c r="A2" s="614" t="s">
        <v>1</v>
      </c>
      <c r="B2" s="614"/>
    </row>
    <row r="3" ht="11.25" customHeight="1"/>
    <row r="4" spans="1:2" ht="17.25" customHeight="1">
      <c r="A4" s="3" t="s">
        <v>2</v>
      </c>
      <c r="B4" s="4" t="s">
        <v>3</v>
      </c>
    </row>
    <row r="5" spans="1:2" ht="17.25" customHeight="1">
      <c r="A5" s="3"/>
      <c r="B5" s="4" t="s">
        <v>4</v>
      </c>
    </row>
    <row r="6" spans="1:2" ht="17.25" customHeight="1">
      <c r="A6" s="3" t="s">
        <v>5</v>
      </c>
      <c r="B6" s="4" t="s">
        <v>6</v>
      </c>
    </row>
    <row r="7" spans="1:2" ht="17.25" customHeight="1">
      <c r="A7" s="3" t="s">
        <v>7</v>
      </c>
      <c r="B7" s="5" t="s">
        <v>8</v>
      </c>
    </row>
    <row r="8" spans="1:2" ht="17.25" customHeight="1">
      <c r="A8" s="6"/>
      <c r="B8" s="4" t="s">
        <v>9</v>
      </c>
    </row>
    <row r="9" spans="1:2" ht="17.25" customHeight="1">
      <c r="A9" s="6"/>
      <c r="B9" s="4" t="s">
        <v>10</v>
      </c>
    </row>
    <row r="10" spans="1:2" ht="17.25" customHeight="1">
      <c r="A10" s="6"/>
      <c r="B10" s="7" t="s">
        <v>11</v>
      </c>
    </row>
    <row r="11" spans="1:2" ht="17.25" customHeight="1">
      <c r="A11" s="6"/>
      <c r="B11" s="7" t="s">
        <v>12</v>
      </c>
    </row>
    <row r="12" spans="1:2" ht="17.25" customHeight="1">
      <c r="A12" s="6"/>
      <c r="B12" s="7" t="s">
        <v>13</v>
      </c>
    </row>
    <row r="13" spans="1:2" s="7" customFormat="1" ht="17.25" customHeight="1">
      <c r="A13" s="6"/>
      <c r="B13" s="7" t="s">
        <v>14</v>
      </c>
    </row>
    <row r="14" spans="1:2" ht="16.5">
      <c r="A14" s="6"/>
      <c r="B14" s="8" t="s">
        <v>15</v>
      </c>
    </row>
    <row r="15" spans="1:2" ht="17.25" customHeight="1">
      <c r="A15" s="6"/>
      <c r="B15" s="8"/>
    </row>
    <row r="16" spans="1:2" ht="16.5">
      <c r="A16" s="3"/>
      <c r="B16" s="8" t="s">
        <v>16</v>
      </c>
    </row>
    <row r="18" ht="26.25" hidden="1">
      <c r="B18" s="9" t="s">
        <v>17</v>
      </c>
    </row>
    <row r="19" spans="1:2" ht="16.5" hidden="1">
      <c r="A19" s="10" t="s">
        <v>18</v>
      </c>
      <c r="B19" s="11" t="s">
        <v>19</v>
      </c>
    </row>
    <row r="20" ht="16.5" hidden="1">
      <c r="B20" s="11" t="s">
        <v>20</v>
      </c>
    </row>
    <row r="21" spans="1:2" ht="16.5" hidden="1">
      <c r="A21" s="10" t="s">
        <v>21</v>
      </c>
      <c r="B21" s="11" t="s">
        <v>22</v>
      </c>
    </row>
    <row r="22" spans="1:2" ht="16.5" hidden="1">
      <c r="A22" s="10" t="s">
        <v>23</v>
      </c>
      <c r="B22" s="11" t="s">
        <v>24</v>
      </c>
    </row>
    <row r="23" ht="16.5" hidden="1">
      <c r="B23" s="11" t="s">
        <v>25</v>
      </c>
    </row>
    <row r="24" ht="16.5" hidden="1">
      <c r="B24" s="11" t="s">
        <v>26</v>
      </c>
    </row>
    <row r="25" ht="16.5" hidden="1">
      <c r="B25" s="12" t="s">
        <v>27</v>
      </c>
    </row>
    <row r="26" ht="16.5" hidden="1">
      <c r="B26" s="11" t="s">
        <v>28</v>
      </c>
    </row>
    <row r="27" ht="16.5" hidden="1">
      <c r="B27" s="11" t="s">
        <v>29</v>
      </c>
    </row>
    <row r="28" ht="16.5" hidden="1">
      <c r="B28" s="11" t="s">
        <v>30</v>
      </c>
    </row>
    <row r="29" ht="16.5" hidden="1">
      <c r="B29" s="11" t="s">
        <v>31</v>
      </c>
    </row>
    <row r="30" ht="16.5" hidden="1">
      <c r="B30" s="13" t="s">
        <v>32</v>
      </c>
    </row>
    <row r="31" ht="16.5" hidden="1">
      <c r="B31" s="11" t="s">
        <v>33</v>
      </c>
    </row>
    <row r="32" ht="16.5" hidden="1">
      <c r="B32" s="11" t="s">
        <v>34</v>
      </c>
    </row>
    <row r="33" ht="16.5" hidden="1">
      <c r="B33" s="11" t="s">
        <v>35</v>
      </c>
    </row>
    <row r="34" ht="16.5" hidden="1">
      <c r="B34" s="14" t="s">
        <v>36</v>
      </c>
    </row>
    <row r="35" ht="16.5" hidden="1">
      <c r="B35" s="12" t="s">
        <v>37</v>
      </c>
    </row>
    <row r="36" ht="16.5" hidden="1">
      <c r="B36" s="11" t="s">
        <v>38</v>
      </c>
    </row>
    <row r="37" ht="26.25">
      <c r="B37" s="9" t="s">
        <v>17</v>
      </c>
    </row>
    <row r="38" ht="16.5">
      <c r="B38" s="11" t="s">
        <v>19</v>
      </c>
    </row>
    <row r="39" ht="16.5">
      <c r="B39" s="11" t="s">
        <v>20</v>
      </c>
    </row>
    <row r="40" ht="16.5">
      <c r="B40" s="11" t="s">
        <v>22</v>
      </c>
    </row>
    <row r="41" ht="16.5">
      <c r="B41" s="11" t="s">
        <v>24</v>
      </c>
    </row>
    <row r="42" ht="16.5">
      <c r="B42" s="11" t="s">
        <v>25</v>
      </c>
    </row>
    <row r="43" ht="16.5">
      <c r="B43" s="11" t="s">
        <v>26</v>
      </c>
    </row>
    <row r="44" ht="16.5">
      <c r="B44" s="11" t="s">
        <v>39</v>
      </c>
    </row>
    <row r="45" ht="16.5">
      <c r="B45" s="11" t="s">
        <v>28</v>
      </c>
    </row>
    <row r="46" ht="16.5">
      <c r="B46" s="11" t="s">
        <v>40</v>
      </c>
    </row>
    <row r="47" ht="16.5">
      <c r="B47" s="11" t="s">
        <v>30</v>
      </c>
    </row>
    <row r="48" ht="16.5">
      <c r="B48" s="11" t="s">
        <v>31</v>
      </c>
    </row>
    <row r="49" ht="16.5">
      <c r="B49" s="13" t="s">
        <v>32</v>
      </c>
    </row>
    <row r="50" ht="16.5">
      <c r="B50" s="11" t="s">
        <v>33</v>
      </c>
    </row>
    <row r="51" ht="16.5">
      <c r="B51" s="11" t="s">
        <v>34</v>
      </c>
    </row>
    <row r="52" ht="16.5">
      <c r="B52" s="11" t="s">
        <v>35</v>
      </c>
    </row>
    <row r="53" ht="16.5">
      <c r="B53" s="14" t="s">
        <v>36</v>
      </c>
    </row>
    <row r="54" ht="16.5">
      <c r="B54" s="11" t="s">
        <v>38</v>
      </c>
    </row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0"/>
  <sheetViews>
    <sheetView zoomScale="70" zoomScaleNormal="70" zoomScalePageLayoutView="0" workbookViewId="0" topLeftCell="A43">
      <selection activeCell="G51" sqref="G51"/>
    </sheetView>
  </sheetViews>
  <sheetFormatPr defaultColWidth="9.00390625" defaultRowHeight="16.5"/>
  <cols>
    <col min="1" max="1" width="5.625" style="64" customWidth="1"/>
    <col min="2" max="2" width="22.50390625" style="64" customWidth="1"/>
    <col min="3" max="5" width="12.50390625" style="64" customWidth="1"/>
    <col min="6" max="6" width="12.875" style="64" customWidth="1"/>
    <col min="7" max="7" width="12.50390625" style="64" customWidth="1"/>
    <col min="8" max="8" width="12.875" style="64" customWidth="1"/>
    <col min="9" max="9" width="15.125" style="64" customWidth="1"/>
    <col min="10" max="10" width="12.50390625" style="64" customWidth="1"/>
    <col min="11" max="11" width="12.875" style="64" customWidth="1"/>
    <col min="12" max="16384" width="9.00390625" style="64" customWidth="1"/>
  </cols>
  <sheetData>
    <row r="1" spans="2:4" ht="18.75">
      <c r="B1" s="226" t="s">
        <v>438</v>
      </c>
      <c r="C1" s="66"/>
      <c r="D1" s="66"/>
    </row>
    <row r="2" spans="2:4" ht="16.5">
      <c r="B2" s="65"/>
      <c r="C2" s="66"/>
      <c r="D2" s="66"/>
    </row>
    <row r="3" spans="2:4" ht="16.5">
      <c r="B3" s="65" t="s">
        <v>233</v>
      </c>
      <c r="C3" s="66"/>
      <c r="D3" s="66"/>
    </row>
    <row r="4" spans="3:5" ht="16.5">
      <c r="C4" s="65" t="s">
        <v>234</v>
      </c>
      <c r="D4" s="66"/>
      <c r="E4" s="66"/>
    </row>
    <row r="5" spans="3:9" ht="16.5">
      <c r="C5" s="156" t="s">
        <v>439</v>
      </c>
      <c r="D5" s="157"/>
      <c r="E5" s="157"/>
      <c r="F5" s="159"/>
      <c r="G5" s="159"/>
      <c r="H5" s="159"/>
      <c r="I5" s="159"/>
    </row>
    <row r="6" spans="2:9" ht="16.5">
      <c r="B6" s="156"/>
      <c r="C6" s="156" t="s">
        <v>306</v>
      </c>
      <c r="D6" s="157"/>
      <c r="E6" s="159"/>
      <c r="F6" s="159"/>
      <c r="G6" s="159"/>
      <c r="H6" s="159"/>
      <c r="I6" s="159"/>
    </row>
    <row r="7" spans="3:6" ht="16.5">
      <c r="C7" s="161" t="s">
        <v>237</v>
      </c>
      <c r="D7" s="161" t="s">
        <v>238</v>
      </c>
      <c r="E7" s="161" t="s">
        <v>290</v>
      </c>
      <c r="F7" s="161" t="s">
        <v>295</v>
      </c>
    </row>
    <row r="8" spans="3:6" ht="16.5">
      <c r="C8" s="163" t="s">
        <v>249</v>
      </c>
      <c r="D8" s="163" t="s">
        <v>251</v>
      </c>
      <c r="E8" s="163" t="s">
        <v>253</v>
      </c>
      <c r="F8" s="163" t="s">
        <v>307</v>
      </c>
    </row>
    <row r="9" spans="3:6" ht="16.5">
      <c r="C9" s="163" t="s">
        <v>311</v>
      </c>
      <c r="D9" s="163" t="s">
        <v>310</v>
      </c>
      <c r="E9" s="163" t="s">
        <v>309</v>
      </c>
      <c r="F9" s="163" t="s">
        <v>308</v>
      </c>
    </row>
    <row r="10" spans="3:6" ht="16.5">
      <c r="C10" s="163" t="s">
        <v>319</v>
      </c>
      <c r="D10" s="163" t="s">
        <v>318</v>
      </c>
      <c r="E10" s="163" t="s">
        <v>317</v>
      </c>
      <c r="F10" s="163" t="s">
        <v>316</v>
      </c>
    </row>
    <row r="11" spans="3:10" ht="16.5" hidden="1">
      <c r="C11" s="163" t="s">
        <v>320</v>
      </c>
      <c r="D11" s="163" t="s">
        <v>321</v>
      </c>
      <c r="E11" s="163" t="s">
        <v>322</v>
      </c>
      <c r="F11" s="163" t="s">
        <v>323</v>
      </c>
      <c r="G11" s="163" t="s">
        <v>324</v>
      </c>
      <c r="H11" s="163" t="s">
        <v>192</v>
      </c>
      <c r="I11" s="163" t="s">
        <v>192</v>
      </c>
      <c r="J11" s="163" t="s">
        <v>192</v>
      </c>
    </row>
    <row r="12" spans="2:6" ht="16.5">
      <c r="B12" s="65"/>
      <c r="C12" s="163"/>
      <c r="D12" s="163"/>
      <c r="E12" s="163"/>
      <c r="F12" s="163" t="s">
        <v>315</v>
      </c>
    </row>
    <row r="13" ht="16.5">
      <c r="B13" s="65"/>
    </row>
    <row r="14" ht="16.5">
      <c r="B14" s="65"/>
    </row>
    <row r="15" spans="2:10" ht="16.5">
      <c r="B15" s="65"/>
      <c r="C15" s="227" t="s">
        <v>440</v>
      </c>
      <c r="D15" s="228"/>
      <c r="E15" s="156"/>
      <c r="F15" s="156"/>
      <c r="G15" s="156"/>
      <c r="H15" s="65"/>
      <c r="I15" s="65"/>
      <c r="J15" s="65"/>
    </row>
    <row r="16" spans="2:10" ht="16.5">
      <c r="B16" s="156"/>
      <c r="C16" s="156"/>
      <c r="D16" s="228"/>
      <c r="E16" s="156"/>
      <c r="F16" s="156"/>
      <c r="G16" s="156"/>
      <c r="H16" s="65"/>
      <c r="I16" s="65"/>
      <c r="J16" s="65"/>
    </row>
    <row r="17" spans="2:10" ht="16.5">
      <c r="B17" s="156"/>
      <c r="C17" s="227" t="s">
        <v>441</v>
      </c>
      <c r="D17" s="228"/>
      <c r="E17" s="156"/>
      <c r="F17" s="156"/>
      <c r="G17" s="156"/>
      <c r="H17" s="65"/>
      <c r="I17" s="65"/>
      <c r="J17" s="65"/>
    </row>
    <row r="18" spans="2:3" ht="16.5">
      <c r="B18" s="65"/>
      <c r="C18" s="156"/>
    </row>
    <row r="19" spans="2:4" ht="16.5">
      <c r="B19" s="65" t="s">
        <v>442</v>
      </c>
      <c r="D19" s="73"/>
    </row>
    <row r="20" spans="3:4" ht="16.5">
      <c r="C20" s="99"/>
      <c r="D20" s="73"/>
    </row>
    <row r="21" spans="2:12" ht="16.5">
      <c r="B21" s="73"/>
      <c r="J21" s="100"/>
      <c r="L21" s="73"/>
    </row>
    <row r="22" spans="2:12" ht="16.5">
      <c r="B22" s="99"/>
      <c r="J22" s="229"/>
      <c r="L22" s="73"/>
    </row>
    <row r="23" spans="2:12" ht="16.5">
      <c r="B23" s="230" t="str">
        <f>'女乙賽程'!S7</f>
        <v>Men</v>
      </c>
      <c r="C23" s="168" t="s">
        <v>554</v>
      </c>
      <c r="D23" s="169"/>
      <c r="E23" s="169"/>
      <c r="F23" s="169"/>
      <c r="G23" s="169"/>
      <c r="K23" s="166"/>
      <c r="L23" s="229"/>
    </row>
    <row r="24" spans="2:17" ht="16.5">
      <c r="B24" s="166"/>
      <c r="C24" s="231"/>
      <c r="D24" s="100"/>
      <c r="E24" s="169"/>
      <c r="F24" s="169"/>
      <c r="G24" s="169"/>
      <c r="J24" s="229"/>
      <c r="K24" s="232"/>
      <c r="L24" s="73"/>
      <c r="M24" s="168"/>
      <c r="N24" s="169"/>
      <c r="O24" s="169"/>
      <c r="P24" s="169"/>
      <c r="Q24" s="169"/>
    </row>
    <row r="25" spans="2:17" ht="16.5">
      <c r="B25" s="174" t="s">
        <v>443</v>
      </c>
      <c r="C25" s="211"/>
      <c r="D25" s="100"/>
      <c r="E25" s="169"/>
      <c r="F25" s="169"/>
      <c r="G25" s="169"/>
      <c r="L25" s="170"/>
      <c r="M25" s="168"/>
      <c r="N25" s="100"/>
      <c r="O25" s="169"/>
      <c r="P25" s="169"/>
      <c r="Q25" s="169"/>
    </row>
    <row r="26" spans="2:17" ht="16.5">
      <c r="B26" s="603" t="s">
        <v>896</v>
      </c>
      <c r="C26" s="203"/>
      <c r="D26" s="230" t="str">
        <f>B23</f>
        <v>Men</v>
      </c>
      <c r="E26" s="169"/>
      <c r="F26" s="169"/>
      <c r="G26" s="169"/>
      <c r="L26" s="170"/>
      <c r="M26" s="168"/>
      <c r="N26" s="100"/>
      <c r="O26" s="169"/>
      <c r="P26" s="169"/>
      <c r="Q26" s="169"/>
    </row>
    <row r="27" spans="2:17" ht="16.5">
      <c r="B27" s="233"/>
      <c r="C27" s="203"/>
      <c r="D27" s="234"/>
      <c r="E27" s="169"/>
      <c r="F27" s="169"/>
      <c r="G27" s="169"/>
      <c r="J27" s="235"/>
      <c r="L27" s="166"/>
      <c r="M27" s="175"/>
      <c r="N27" s="236"/>
      <c r="O27" s="169"/>
      <c r="P27" s="169"/>
      <c r="Q27" s="169"/>
    </row>
    <row r="28" spans="2:17" ht="16.5">
      <c r="B28" s="186" t="str">
        <f>B73</f>
        <v>The Passionate Miami</v>
      </c>
      <c r="C28" s="168" t="s">
        <v>558</v>
      </c>
      <c r="D28" s="237"/>
      <c r="E28" s="181"/>
      <c r="F28" s="169"/>
      <c r="G28" s="169"/>
      <c r="L28" s="84"/>
      <c r="M28" s="180"/>
      <c r="N28" s="236"/>
      <c r="O28" s="169"/>
      <c r="P28" s="169"/>
      <c r="Q28" s="169"/>
    </row>
    <row r="29" spans="2:17" ht="16.5">
      <c r="B29" s="238"/>
      <c r="C29" s="182"/>
      <c r="D29" s="237"/>
      <c r="E29" s="181"/>
      <c r="F29" s="169"/>
      <c r="G29" s="169"/>
      <c r="J29" s="235"/>
      <c r="K29" s="166"/>
      <c r="L29" s="100"/>
      <c r="M29" s="182"/>
      <c r="N29" s="236"/>
      <c r="O29" s="169"/>
      <c r="P29" s="169"/>
      <c r="Q29" s="169"/>
    </row>
    <row r="30" spans="2:17" ht="16.5">
      <c r="B30" s="170"/>
      <c r="C30" s="180"/>
      <c r="D30" s="237"/>
      <c r="E30" s="181"/>
      <c r="F30" s="169"/>
      <c r="G30" s="169"/>
      <c r="J30" s="235"/>
      <c r="K30" s="232"/>
      <c r="L30" s="170"/>
      <c r="M30" s="180"/>
      <c r="N30" s="236"/>
      <c r="O30" s="169"/>
      <c r="P30" s="169"/>
      <c r="Q30" s="169"/>
    </row>
    <row r="31" spans="2:17" ht="16.5">
      <c r="B31" s="170"/>
      <c r="C31" s="184"/>
      <c r="D31" s="174" t="s">
        <v>444</v>
      </c>
      <c r="E31" s="184"/>
      <c r="F31" s="169"/>
      <c r="G31" s="169"/>
      <c r="J31" s="239"/>
      <c r="L31" s="170"/>
      <c r="M31" s="184"/>
      <c r="N31" s="184"/>
      <c r="O31" s="184"/>
      <c r="P31" s="169"/>
      <c r="Q31" s="169"/>
    </row>
    <row r="32" spans="2:17" ht="16.5">
      <c r="B32" s="170"/>
      <c r="C32" s="184"/>
      <c r="D32" s="608" t="s">
        <v>909</v>
      </c>
      <c r="E32" s="184"/>
      <c r="F32" s="169"/>
      <c r="G32" s="169"/>
      <c r="J32" s="235"/>
      <c r="L32" s="170"/>
      <c r="M32" s="184"/>
      <c r="N32" s="184"/>
      <c r="O32" s="184"/>
      <c r="P32" s="169"/>
      <c r="Q32" s="169"/>
    </row>
    <row r="33" spans="2:14" ht="16.5">
      <c r="B33" s="170"/>
      <c r="C33" s="184"/>
      <c r="D33" s="233"/>
      <c r="E33" s="184"/>
      <c r="F33" s="169"/>
      <c r="G33" s="169"/>
      <c r="J33" s="239"/>
      <c r="L33" s="170"/>
      <c r="M33" s="180"/>
      <c r="N33" s="84"/>
    </row>
    <row r="34" spans="2:14" ht="16.5">
      <c r="B34" s="170"/>
      <c r="C34" s="180"/>
      <c r="D34" s="90"/>
      <c r="J34" s="235"/>
      <c r="K34" s="166"/>
      <c r="L34" s="100"/>
      <c r="M34" s="175"/>
      <c r="N34" s="236"/>
    </row>
    <row r="35" spans="2:16" ht="16.5">
      <c r="B35" s="238"/>
      <c r="C35" s="175"/>
      <c r="D35" s="237"/>
      <c r="J35" s="235"/>
      <c r="K35" s="166"/>
      <c r="L35" s="73"/>
      <c r="M35" s="168"/>
      <c r="N35" s="236"/>
      <c r="P35" s="73"/>
    </row>
    <row r="36" spans="2:17" ht="16.5">
      <c r="B36" s="186" t="str">
        <f>B74</f>
        <v>Reunion</v>
      </c>
      <c r="C36" s="168" t="s">
        <v>558</v>
      </c>
      <c r="D36" s="237"/>
      <c r="F36" s="230" t="str">
        <f>D26</f>
        <v>Men</v>
      </c>
      <c r="J36" s="239"/>
      <c r="L36" s="170"/>
      <c r="M36" s="168"/>
      <c r="N36" s="236"/>
      <c r="O36" s="236"/>
      <c r="P36" s="169"/>
      <c r="Q36" s="169"/>
    </row>
    <row r="37" spans="2:17" ht="16.5">
      <c r="B37" s="240"/>
      <c r="C37" s="168"/>
      <c r="D37" s="237"/>
      <c r="E37" s="241"/>
      <c r="F37" s="188"/>
      <c r="G37" s="169"/>
      <c r="L37" s="166"/>
      <c r="M37" s="168"/>
      <c r="N37" s="73"/>
      <c r="O37" s="169"/>
      <c r="P37" s="169"/>
      <c r="Q37" s="169"/>
    </row>
    <row r="38" spans="2:17" ht="16.5">
      <c r="B38" s="174" t="s">
        <v>445</v>
      </c>
      <c r="C38" s="189"/>
      <c r="D38" s="230" t="str">
        <f>B41</f>
        <v>下手</v>
      </c>
      <c r="E38" s="181"/>
      <c r="F38" s="178"/>
      <c r="G38" s="169"/>
      <c r="J38" s="235"/>
      <c r="L38" s="84"/>
      <c r="M38" s="180"/>
      <c r="N38" s="100"/>
      <c r="O38" s="169"/>
      <c r="P38" s="169"/>
      <c r="Q38" s="169"/>
    </row>
    <row r="39" spans="2:17" ht="16.5">
      <c r="B39" s="602" t="s">
        <v>897</v>
      </c>
      <c r="C39" s="180"/>
      <c r="D39" s="100"/>
      <c r="E39" s="169"/>
      <c r="F39" s="178"/>
      <c r="G39" s="169"/>
      <c r="L39" s="170"/>
      <c r="M39" s="168"/>
      <c r="N39" s="236"/>
      <c r="O39" s="169"/>
      <c r="P39" s="169"/>
      <c r="Q39" s="169"/>
    </row>
    <row r="40" spans="2:17" ht="16.5">
      <c r="B40" s="242"/>
      <c r="C40" s="168"/>
      <c r="D40" s="236"/>
      <c r="E40" s="169"/>
      <c r="F40" s="178"/>
      <c r="G40" s="169"/>
      <c r="J40" s="235"/>
      <c r="K40" s="166"/>
      <c r="L40" s="170"/>
      <c r="M40" s="168"/>
      <c r="N40" s="236"/>
      <c r="O40" s="169"/>
      <c r="P40" s="169"/>
      <c r="Q40" s="169"/>
    </row>
    <row r="41" spans="2:17" ht="16.5">
      <c r="B41" s="230" t="str">
        <f>'女乙賽程'!Y13</f>
        <v>下手</v>
      </c>
      <c r="C41" s="168" t="s">
        <v>555</v>
      </c>
      <c r="D41" s="236"/>
      <c r="E41" s="169"/>
      <c r="F41" s="178"/>
      <c r="G41" s="169"/>
      <c r="J41" s="235"/>
      <c r="K41" s="232"/>
      <c r="L41" s="229"/>
      <c r="M41" s="168"/>
      <c r="N41" s="236"/>
      <c r="O41" s="169"/>
      <c r="P41" s="169"/>
      <c r="Q41" s="169"/>
    </row>
    <row r="42" spans="2:17" ht="16.5">
      <c r="B42" s="77"/>
      <c r="C42" s="168"/>
      <c r="D42" s="236"/>
      <c r="E42" s="169"/>
      <c r="F42" s="178"/>
      <c r="G42" s="169"/>
      <c r="J42" s="239"/>
      <c r="L42" s="166"/>
      <c r="M42" s="175"/>
      <c r="N42" s="169"/>
      <c r="O42" s="184"/>
      <c r="P42" s="169"/>
      <c r="Q42" s="184"/>
    </row>
    <row r="43" spans="2:17" ht="16.5">
      <c r="B43" s="166"/>
      <c r="C43" s="175"/>
      <c r="D43" s="169"/>
      <c r="F43" s="234"/>
      <c r="G43" s="243" t="s">
        <v>446</v>
      </c>
      <c r="H43" s="230" t="str">
        <f>F36</f>
        <v>Men</v>
      </c>
      <c r="J43" s="235"/>
      <c r="L43" s="170"/>
      <c r="M43" s="182"/>
      <c r="N43" s="169"/>
      <c r="O43" s="244"/>
      <c r="P43" s="168"/>
      <c r="Q43" s="244"/>
    </row>
    <row r="44" spans="2:16" ht="16.5">
      <c r="B44" s="170"/>
      <c r="C44" s="182"/>
      <c r="D44" s="169"/>
      <c r="G44" s="245" t="s">
        <v>259</v>
      </c>
      <c r="J44" s="239"/>
      <c r="L44" s="73"/>
      <c r="N44" s="73"/>
      <c r="P44" s="169"/>
    </row>
    <row r="45" spans="2:17" ht="16.5">
      <c r="B45" s="170"/>
      <c r="C45" s="182"/>
      <c r="D45" s="236"/>
      <c r="E45" s="246"/>
      <c r="F45" s="609" t="s">
        <v>911</v>
      </c>
      <c r="G45" s="246"/>
      <c r="J45" s="235"/>
      <c r="K45" s="166"/>
      <c r="L45" s="73"/>
      <c r="N45" s="73"/>
      <c r="O45" s="169"/>
      <c r="P45" s="169"/>
      <c r="Q45" s="169"/>
    </row>
    <row r="46" spans="2:17" ht="16.5">
      <c r="B46" s="73"/>
      <c r="D46" s="73"/>
      <c r="F46" s="178"/>
      <c r="J46" s="235"/>
      <c r="K46" s="166"/>
      <c r="L46" s="170"/>
      <c r="M46" s="168"/>
      <c r="N46" s="236"/>
      <c r="O46" s="169"/>
      <c r="P46" s="169"/>
      <c r="Q46" s="169"/>
    </row>
    <row r="47" spans="2:17" ht="16.5">
      <c r="B47" s="165"/>
      <c r="D47" s="73"/>
      <c r="E47" s="169"/>
      <c r="F47" s="178"/>
      <c r="G47" s="169"/>
      <c r="J47" s="239"/>
      <c r="L47" s="170"/>
      <c r="M47" s="168"/>
      <c r="N47" s="100"/>
      <c r="O47" s="169"/>
      <c r="P47" s="169"/>
      <c r="Q47" s="169"/>
    </row>
    <row r="48" spans="2:17" ht="16.5">
      <c r="B48" s="230" t="str">
        <f>'女乙賽程'!S13</f>
        <v>Yumika</v>
      </c>
      <c r="C48" s="168" t="s">
        <v>556</v>
      </c>
      <c r="D48" s="204"/>
      <c r="E48" s="169"/>
      <c r="F48" s="178"/>
      <c r="G48" s="169"/>
      <c r="L48" s="166"/>
      <c r="M48" s="175"/>
      <c r="N48" s="236"/>
      <c r="O48" s="169"/>
      <c r="P48" s="169"/>
      <c r="Q48" s="169"/>
    </row>
    <row r="49" spans="2:17" ht="16.5">
      <c r="B49" s="171"/>
      <c r="C49" s="189"/>
      <c r="D49" s="247"/>
      <c r="E49" s="169"/>
      <c r="F49" s="178"/>
      <c r="G49" s="169"/>
      <c r="J49" s="239"/>
      <c r="L49" s="84"/>
      <c r="M49" s="180"/>
      <c r="N49" s="236"/>
      <c r="O49" s="169"/>
      <c r="P49" s="169"/>
      <c r="Q49" s="169"/>
    </row>
    <row r="50" spans="2:17" ht="16.5">
      <c r="B50" s="174" t="s">
        <v>447</v>
      </c>
      <c r="C50" s="175"/>
      <c r="D50" s="248" t="str">
        <f>B48</f>
        <v>Yumika</v>
      </c>
      <c r="E50" s="169"/>
      <c r="F50" s="178"/>
      <c r="G50" s="169"/>
      <c r="K50" s="166"/>
      <c r="L50" s="100"/>
      <c r="M50" s="182"/>
      <c r="N50" s="236"/>
      <c r="O50" s="168"/>
      <c r="P50" s="169"/>
      <c r="Q50" s="169"/>
    </row>
    <row r="51" spans="2:17" ht="16.5">
      <c r="B51" s="601" t="s">
        <v>898</v>
      </c>
      <c r="C51" s="175"/>
      <c r="D51" s="237"/>
      <c r="E51" s="169"/>
      <c r="F51" s="178"/>
      <c r="G51" s="169"/>
      <c r="K51" s="166"/>
      <c r="L51" s="100"/>
      <c r="M51" s="182"/>
      <c r="N51" s="236"/>
      <c r="O51" s="168"/>
      <c r="P51" s="169"/>
      <c r="Q51" s="169"/>
    </row>
    <row r="52" spans="2:17" ht="16.5">
      <c r="B52" s="233"/>
      <c r="C52" s="175"/>
      <c r="D52" s="237"/>
      <c r="E52" s="169"/>
      <c r="F52" s="178"/>
      <c r="G52" s="169"/>
      <c r="J52" s="235"/>
      <c r="K52" s="166"/>
      <c r="L52" s="170"/>
      <c r="M52" s="180"/>
      <c r="N52" s="236"/>
      <c r="P52" s="169"/>
      <c r="Q52" s="169"/>
    </row>
    <row r="53" spans="2:17" ht="16.5">
      <c r="B53" s="186" t="str">
        <f>B75</f>
        <v>Blue team</v>
      </c>
      <c r="C53" s="168" t="s">
        <v>558</v>
      </c>
      <c r="D53" s="237"/>
      <c r="E53" s="169"/>
      <c r="F53" s="178"/>
      <c r="G53" s="169"/>
      <c r="J53" s="239"/>
      <c r="L53" s="170"/>
      <c r="M53" s="184"/>
      <c r="N53" s="184"/>
      <c r="O53" s="168"/>
      <c r="P53" s="169"/>
      <c r="Q53" s="169"/>
    </row>
    <row r="54" spans="2:17" ht="16.5">
      <c r="B54" s="238"/>
      <c r="C54" s="182"/>
      <c r="D54" s="237"/>
      <c r="E54" s="189"/>
      <c r="F54" s="200"/>
      <c r="G54" s="169"/>
      <c r="J54" s="235"/>
      <c r="L54" s="170"/>
      <c r="M54" s="180"/>
      <c r="N54" s="84"/>
      <c r="Q54" s="169"/>
    </row>
    <row r="55" spans="2:17" ht="16.5">
      <c r="B55" s="170"/>
      <c r="C55" s="180"/>
      <c r="D55" s="237"/>
      <c r="F55" s="230" t="str">
        <f>D62</f>
        <v>YMYM</v>
      </c>
      <c r="G55" s="169"/>
      <c r="J55" s="249"/>
      <c r="L55" s="170"/>
      <c r="M55" s="180"/>
      <c r="N55" s="236"/>
      <c r="Q55" s="169"/>
    </row>
    <row r="56" spans="2:17" ht="16.5">
      <c r="B56" s="170"/>
      <c r="C56" s="184"/>
      <c r="D56" s="174" t="s">
        <v>448</v>
      </c>
      <c r="E56" s="168"/>
      <c r="F56" s="169"/>
      <c r="G56" s="169"/>
      <c r="K56" s="250"/>
      <c r="L56" s="166"/>
      <c r="M56" s="175"/>
      <c r="N56" s="236"/>
      <c r="Q56" s="169"/>
    </row>
    <row r="57" spans="2:17" ht="16.5">
      <c r="B57" s="170"/>
      <c r="C57" s="180"/>
      <c r="D57" s="602" t="s">
        <v>910</v>
      </c>
      <c r="G57" s="169"/>
      <c r="J57" s="235"/>
      <c r="K57" s="166"/>
      <c r="L57" s="251"/>
      <c r="M57" s="168"/>
      <c r="N57" s="236"/>
      <c r="Q57" s="169"/>
    </row>
    <row r="58" spans="2:14" ht="16.5">
      <c r="B58" s="170"/>
      <c r="C58" s="180"/>
      <c r="D58" s="237"/>
      <c r="G58" s="169"/>
      <c r="J58" s="249"/>
      <c r="K58" s="166"/>
      <c r="L58" s="252"/>
      <c r="M58" s="168"/>
      <c r="N58" s="236"/>
    </row>
    <row r="59" spans="2:15" ht="16.5">
      <c r="B59" s="166"/>
      <c r="C59" s="175"/>
      <c r="D59" s="237"/>
      <c r="G59" s="169"/>
      <c r="J59" s="239"/>
      <c r="L59" s="166"/>
      <c r="M59" s="168"/>
      <c r="N59" s="73"/>
      <c r="O59" s="169"/>
    </row>
    <row r="60" spans="2:17" ht="16.5">
      <c r="B60" s="238"/>
      <c r="C60" s="253"/>
      <c r="D60" s="237"/>
      <c r="F60" s="91"/>
      <c r="G60" s="91"/>
      <c r="J60" s="235"/>
      <c r="L60" s="170"/>
      <c r="M60" s="180"/>
      <c r="N60" s="100"/>
      <c r="O60" s="209"/>
      <c r="P60" s="95"/>
      <c r="Q60" s="254"/>
    </row>
    <row r="61" spans="2:17" ht="16.5">
      <c r="B61" s="230" t="str">
        <f>B72</f>
        <v>I&amp;O</v>
      </c>
      <c r="C61" s="168" t="s">
        <v>558</v>
      </c>
      <c r="D61" s="237"/>
      <c r="F61" s="605" t="str">
        <f>D38</f>
        <v>下手</v>
      </c>
      <c r="G61" s="92"/>
      <c r="J61" s="239"/>
      <c r="L61" s="73"/>
      <c r="M61" s="168"/>
      <c r="N61" s="169"/>
      <c r="O61" s="209"/>
      <c r="P61" s="95"/>
      <c r="Q61" s="254"/>
    </row>
    <row r="62" spans="2:17" ht="16.5">
      <c r="B62" s="171"/>
      <c r="C62" s="189"/>
      <c r="D62" s="230" t="str">
        <f>B66</f>
        <v>YMYM</v>
      </c>
      <c r="E62" s="169"/>
      <c r="G62" s="92"/>
      <c r="K62" s="166"/>
      <c r="L62" s="100"/>
      <c r="M62" s="168"/>
      <c r="N62" s="169"/>
      <c r="O62" s="209"/>
      <c r="P62" s="95"/>
      <c r="Q62" s="254"/>
    </row>
    <row r="63" spans="2:17" ht="16.5">
      <c r="B63" s="174" t="s">
        <v>449</v>
      </c>
      <c r="C63" s="180"/>
      <c r="D63" s="100"/>
      <c r="E63" s="209"/>
      <c r="F63" s="95"/>
      <c r="G63" s="96"/>
      <c r="J63" s="235"/>
      <c r="K63" s="166"/>
      <c r="L63" s="166"/>
      <c r="M63" s="168"/>
      <c r="N63" s="169"/>
      <c r="O63" s="209"/>
      <c r="P63" s="95"/>
      <c r="Q63" s="254"/>
    </row>
    <row r="64" spans="2:17" ht="16.5">
      <c r="B64" s="601" t="s">
        <v>899</v>
      </c>
      <c r="C64" s="180"/>
      <c r="D64" s="100"/>
      <c r="E64" s="209"/>
      <c r="F64" s="95"/>
      <c r="G64" s="96"/>
      <c r="J64" s="235"/>
      <c r="K64" s="166"/>
      <c r="L64" s="166"/>
      <c r="M64" s="168"/>
      <c r="N64" s="169"/>
      <c r="O64" s="209"/>
      <c r="P64" s="95"/>
      <c r="Q64" s="254"/>
    </row>
    <row r="65" spans="2:17" ht="16.5">
      <c r="B65" s="210"/>
      <c r="C65" s="168"/>
      <c r="D65" s="169"/>
      <c r="E65" s="209"/>
      <c r="F65" s="95"/>
      <c r="G65" s="174" t="s">
        <v>450</v>
      </c>
      <c r="H65" s="193" t="str">
        <f>F61</f>
        <v>下手</v>
      </c>
      <c r="I65" s="203"/>
      <c r="J65" s="239"/>
      <c r="L65" s="73"/>
      <c r="M65" s="175"/>
      <c r="N65" s="169"/>
      <c r="O65" s="209"/>
      <c r="P65" s="95"/>
      <c r="Q65" s="254"/>
    </row>
    <row r="66" spans="2:17" ht="16.5">
      <c r="B66" s="186" t="str">
        <f>'女乙賽程'!Y7</f>
        <v>YMYM</v>
      </c>
      <c r="C66" s="168" t="s">
        <v>557</v>
      </c>
      <c r="D66" s="169"/>
      <c r="E66" s="209"/>
      <c r="F66" s="95"/>
      <c r="G66" s="255" t="s">
        <v>268</v>
      </c>
      <c r="H66" s="97"/>
      <c r="J66" s="235"/>
      <c r="L66" s="73"/>
      <c r="N66" s="73"/>
      <c r="O66" s="209"/>
      <c r="P66" s="95"/>
      <c r="Q66" s="254"/>
    </row>
    <row r="67" spans="2:8" ht="16.5">
      <c r="B67" s="238"/>
      <c r="C67" s="168"/>
      <c r="D67" s="169"/>
      <c r="E67" s="209"/>
      <c r="F67" s="95"/>
      <c r="G67" s="607" t="s">
        <v>912</v>
      </c>
      <c r="H67" s="203"/>
    </row>
    <row r="68" spans="2:7" ht="16.5">
      <c r="B68" s="73"/>
      <c r="C68" s="175"/>
      <c r="D68" s="169"/>
      <c r="E68" s="209"/>
      <c r="F68" s="95"/>
      <c r="G68" s="96"/>
    </row>
    <row r="69" spans="2:7" ht="16.5">
      <c r="B69" s="73"/>
      <c r="D69" s="73"/>
      <c r="E69" s="209"/>
      <c r="F69" s="606" t="str">
        <f>D50</f>
        <v>Yumika</v>
      </c>
      <c r="G69" s="98"/>
    </row>
    <row r="70" spans="2:8" ht="16.5">
      <c r="B70" s="235"/>
      <c r="C70" s="99"/>
      <c r="G70" s="209"/>
      <c r="H70" s="175"/>
    </row>
    <row r="72" spans="2:11" ht="16.5">
      <c r="B72" s="193" t="str">
        <f>'女乙賽程'!S8</f>
        <v>I&amp;O</v>
      </c>
      <c r="C72" s="214" t="s">
        <v>160</v>
      </c>
      <c r="J72" s="212" t="s">
        <v>261</v>
      </c>
      <c r="K72" s="213" t="s">
        <v>267</v>
      </c>
    </row>
    <row r="73" spans="2:11" ht="16.5">
      <c r="B73" s="193" t="str">
        <f>'女乙賽程'!Y8</f>
        <v>The Passionate Miami</v>
      </c>
      <c r="C73" s="214" t="s">
        <v>157</v>
      </c>
      <c r="J73" s="212" t="s">
        <v>263</v>
      </c>
      <c r="K73" s="213" t="s">
        <v>270</v>
      </c>
    </row>
    <row r="74" spans="2:11" ht="16.5">
      <c r="B74" s="193" t="str">
        <f>'女乙賽程'!S14</f>
        <v>Reunion</v>
      </c>
      <c r="C74" s="214" t="s">
        <v>194</v>
      </c>
      <c r="J74" s="212" t="s">
        <v>266</v>
      </c>
      <c r="K74" s="213" t="s">
        <v>352</v>
      </c>
    </row>
    <row r="75" spans="2:11" ht="16.5">
      <c r="B75" s="193" t="str">
        <f>'女乙賽程'!Y14</f>
        <v>Blue team</v>
      </c>
      <c r="C75" s="214" t="s">
        <v>195</v>
      </c>
      <c r="J75" s="212" t="s">
        <v>269</v>
      </c>
      <c r="K75" s="213" t="s">
        <v>354</v>
      </c>
    </row>
    <row r="76" spans="10:11" ht="16.5">
      <c r="J76" s="212" t="s">
        <v>355</v>
      </c>
      <c r="K76" s="213" t="s">
        <v>356</v>
      </c>
    </row>
    <row r="77" spans="10:11" ht="16.5">
      <c r="J77" s="212" t="s">
        <v>357</v>
      </c>
      <c r="K77" s="213" t="s">
        <v>908</v>
      </c>
    </row>
    <row r="121" ht="16.5">
      <c r="B121" s="235"/>
    </row>
    <row r="124" spans="11:12" ht="16.5">
      <c r="K124" s="212" t="s">
        <v>261</v>
      </c>
      <c r="L124" s="213" t="s">
        <v>267</v>
      </c>
    </row>
    <row r="125" spans="7:12" ht="16.5">
      <c r="G125" s="209"/>
      <c r="H125" s="175"/>
      <c r="K125" s="212" t="s">
        <v>263</v>
      </c>
      <c r="L125" s="213" t="s">
        <v>270</v>
      </c>
    </row>
    <row r="126" spans="11:12" ht="16.5">
      <c r="K126" s="212" t="s">
        <v>266</v>
      </c>
      <c r="L126" s="213" t="s">
        <v>352</v>
      </c>
    </row>
    <row r="127" spans="11:12" ht="16.5">
      <c r="K127" s="212" t="s">
        <v>269</v>
      </c>
      <c r="L127" s="213" t="s">
        <v>354</v>
      </c>
    </row>
    <row r="128" spans="11:12" ht="16.5">
      <c r="K128" s="212" t="s">
        <v>355</v>
      </c>
      <c r="L128" s="213" t="s">
        <v>356</v>
      </c>
    </row>
    <row r="129" spans="11:12" ht="16.5">
      <c r="K129" s="212" t="s">
        <v>357</v>
      </c>
      <c r="L129" s="213" t="s">
        <v>358</v>
      </c>
    </row>
    <row r="130" spans="11:12" ht="16.5">
      <c r="K130" s="212"/>
      <c r="L130" s="213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75" zoomScaleNormal="75" zoomScalePageLayoutView="0" workbookViewId="0" topLeftCell="I1">
      <selection activeCell="AC17" sqref="AC17"/>
    </sheetView>
  </sheetViews>
  <sheetFormatPr defaultColWidth="9.00390625" defaultRowHeight="16.5"/>
  <cols>
    <col min="1" max="1" width="0" style="263" hidden="1" customWidth="1"/>
    <col min="2" max="2" width="9.50390625" style="263" customWidth="1"/>
    <col min="3" max="3" width="7.875" style="263" customWidth="1"/>
    <col min="4" max="4" width="10.125" style="263" customWidth="1"/>
    <col min="5" max="5" width="15.625" style="263" customWidth="1"/>
    <col min="6" max="6" width="5.125" style="263" customWidth="1"/>
    <col min="7" max="7" width="15.875" style="263" customWidth="1"/>
    <col min="8" max="8" width="20.00390625" style="263" customWidth="1"/>
    <col min="9" max="9" width="3.125" style="263" customWidth="1"/>
    <col min="10" max="10" width="20.875" style="263" customWidth="1"/>
    <col min="11" max="14" width="9.00390625" style="560" customWidth="1"/>
    <col min="15" max="16" width="15.875" style="263" customWidth="1"/>
    <col min="17" max="17" width="7.875" style="263" customWidth="1"/>
    <col min="18" max="18" width="9.00390625" style="263" customWidth="1"/>
    <col min="19" max="19" width="16.875" style="263" customWidth="1"/>
    <col min="20" max="24" width="9.00390625" style="263" customWidth="1"/>
    <col min="25" max="25" width="15.375" style="263" customWidth="1"/>
    <col min="26" max="16384" width="9.00390625" style="263" customWidth="1"/>
  </cols>
  <sheetData>
    <row r="1" spans="2:8" ht="23.25">
      <c r="B1" s="102" t="s">
        <v>451</v>
      </c>
      <c r="C1" s="559"/>
      <c r="D1" s="559"/>
      <c r="E1" s="122"/>
      <c r="G1" s="560"/>
      <c r="H1" s="561"/>
    </row>
    <row r="2" spans="2:8" ht="24">
      <c r="B2" s="561" t="s">
        <v>773</v>
      </c>
      <c r="C2" s="559"/>
      <c r="D2" s="559"/>
      <c r="E2" s="122"/>
      <c r="G2" s="560"/>
      <c r="H2" s="561"/>
    </row>
    <row r="3" spans="4:14" ht="18.75">
      <c r="D3" s="562"/>
      <c r="E3" s="560"/>
      <c r="F3" s="560"/>
      <c r="G3" s="563"/>
      <c r="H3" s="618" t="s">
        <v>774</v>
      </c>
      <c r="I3" s="618"/>
      <c r="J3" s="618"/>
      <c r="K3" s="560" t="s">
        <v>775</v>
      </c>
      <c r="L3" s="560" t="s">
        <v>776</v>
      </c>
      <c r="M3" s="560" t="s">
        <v>776</v>
      </c>
      <c r="N3" s="560" t="s">
        <v>775</v>
      </c>
    </row>
    <row r="4" spans="1:14" ht="15.75">
      <c r="A4" s="564" t="s">
        <v>777</v>
      </c>
      <c r="B4" s="111" t="s">
        <v>277</v>
      </c>
      <c r="C4" s="111" t="s">
        <v>278</v>
      </c>
      <c r="D4" s="112" t="s">
        <v>279</v>
      </c>
      <c r="E4" s="111"/>
      <c r="F4" s="111" t="s">
        <v>280</v>
      </c>
      <c r="G4" s="111"/>
      <c r="H4" s="113" t="s">
        <v>281</v>
      </c>
      <c r="I4" s="565"/>
      <c r="J4" s="113" t="s">
        <v>282</v>
      </c>
      <c r="K4" s="111"/>
      <c r="L4" s="111"/>
      <c r="M4" s="111"/>
      <c r="N4" s="111"/>
    </row>
    <row r="5" spans="1:14" ht="16.5" customHeight="1">
      <c r="A5" s="115" t="s">
        <v>283</v>
      </c>
      <c r="B5" s="111" t="s">
        <v>778</v>
      </c>
      <c r="C5" s="264" t="s">
        <v>779</v>
      </c>
      <c r="D5" s="256" t="s">
        <v>277</v>
      </c>
      <c r="E5" s="264"/>
      <c r="F5" s="264" t="s">
        <v>780</v>
      </c>
      <c r="G5" s="264"/>
      <c r="H5" s="119" t="s">
        <v>47</v>
      </c>
      <c r="I5" s="115"/>
      <c r="J5" s="119" t="s">
        <v>47</v>
      </c>
      <c r="K5" s="111"/>
      <c r="L5" s="111"/>
      <c r="M5" s="111"/>
      <c r="N5" s="111"/>
    </row>
    <row r="6" spans="1:30" ht="15.75">
      <c r="A6" s="123" t="e">
        <f>IF(#REF!&lt;&gt;#REF!,#REF!,"")</f>
        <v>#REF!</v>
      </c>
      <c r="B6" s="257">
        <v>1</v>
      </c>
      <c r="C6" s="258" t="s">
        <v>237</v>
      </c>
      <c r="D6" s="259">
        <v>1</v>
      </c>
      <c r="E6" s="260" t="s">
        <v>111</v>
      </c>
      <c r="F6" s="261" t="s">
        <v>289</v>
      </c>
      <c r="G6" s="262" t="s">
        <v>196</v>
      </c>
      <c r="H6" s="130" t="str">
        <f>VLOOKUP(E6,WD!$C$6:$K$65,3,FALSE)</f>
        <v>Men</v>
      </c>
      <c r="I6" s="130" t="s">
        <v>289</v>
      </c>
      <c r="J6" s="130" t="str">
        <f>VLOOKUP(G6,WD!$C$6:$K$65,3,FALSE)</f>
        <v>I&amp;O</v>
      </c>
      <c r="K6" s="111">
        <v>2</v>
      </c>
      <c r="L6" s="111">
        <f>21+21</f>
        <v>42</v>
      </c>
      <c r="M6" s="111">
        <f>7+10</f>
        <v>17</v>
      </c>
      <c r="N6" s="111">
        <v>0</v>
      </c>
      <c r="O6" s="263" t="s">
        <v>861</v>
      </c>
      <c r="Q6" s="600" t="s">
        <v>237</v>
      </c>
      <c r="R6" s="121" t="s">
        <v>286</v>
      </c>
      <c r="S6" s="122" t="s">
        <v>46</v>
      </c>
      <c r="T6" s="122" t="s">
        <v>287</v>
      </c>
      <c r="U6" s="122" t="s">
        <v>288</v>
      </c>
      <c r="V6" s="122" t="s">
        <v>57</v>
      </c>
      <c r="W6" s="600" t="s">
        <v>238</v>
      </c>
      <c r="X6" s="121" t="s">
        <v>286</v>
      </c>
      <c r="Y6" s="122" t="s">
        <v>46</v>
      </c>
      <c r="Z6" s="122" t="s">
        <v>287</v>
      </c>
      <c r="AA6" s="122" t="s">
        <v>288</v>
      </c>
      <c r="AB6" s="122" t="s">
        <v>57</v>
      </c>
      <c r="AD6" s="347" t="s">
        <v>653</v>
      </c>
    </row>
    <row r="7" spans="1:29" ht="15.75">
      <c r="A7" s="131" t="e">
        <f>IF(#REF!&lt;&gt;#REF!,#REF!,"")</f>
        <v>#REF!</v>
      </c>
      <c r="B7" s="264">
        <v>2</v>
      </c>
      <c r="C7" s="258" t="s">
        <v>237</v>
      </c>
      <c r="D7" s="259">
        <v>2</v>
      </c>
      <c r="E7" s="260" t="s">
        <v>160</v>
      </c>
      <c r="F7" s="261" t="s">
        <v>289</v>
      </c>
      <c r="G7" s="262" t="s">
        <v>196</v>
      </c>
      <c r="H7" s="130" t="str">
        <f>VLOOKUP(E7,WD!$C$6:$K$65,3,FALSE)</f>
        <v>筱瑩</v>
      </c>
      <c r="I7" s="130" t="s">
        <v>289</v>
      </c>
      <c r="J7" s="130" t="str">
        <f>VLOOKUP(G7,WD!$C$6:$K$65,3,FALSE)</f>
        <v>I&amp;O</v>
      </c>
      <c r="K7" s="111">
        <v>0</v>
      </c>
      <c r="L7" s="111">
        <f>16+18</f>
        <v>34</v>
      </c>
      <c r="M7" s="111">
        <f>21+21</f>
        <v>42</v>
      </c>
      <c r="N7" s="111">
        <v>2</v>
      </c>
      <c r="O7" s="263" t="s">
        <v>744</v>
      </c>
      <c r="R7" s="565">
        <v>1</v>
      </c>
      <c r="S7" s="566" t="s">
        <v>396</v>
      </c>
      <c r="T7" s="566">
        <v>2</v>
      </c>
      <c r="U7" s="566">
        <v>0</v>
      </c>
      <c r="V7" s="566">
        <f>T7*3+U7*0</f>
        <v>6</v>
      </c>
      <c r="W7" s="461"/>
      <c r="X7" s="565">
        <v>1</v>
      </c>
      <c r="Y7" s="566" t="s">
        <v>826</v>
      </c>
      <c r="Z7" s="566">
        <v>1</v>
      </c>
      <c r="AA7" s="566">
        <v>0</v>
      </c>
      <c r="AB7" s="566">
        <f>Z7*3+AA7*0</f>
        <v>3</v>
      </c>
      <c r="AC7" s="461"/>
    </row>
    <row r="8" spans="1:29" ht="15.75">
      <c r="A8" s="131" t="e">
        <f>IF(#REF!&lt;&gt;#REF!,#REF!,"")</f>
        <v>#REF!</v>
      </c>
      <c r="B8" s="257">
        <v>3</v>
      </c>
      <c r="C8" s="265" t="s">
        <v>237</v>
      </c>
      <c r="D8" s="266">
        <v>3</v>
      </c>
      <c r="E8" s="267" t="s">
        <v>111</v>
      </c>
      <c r="F8" s="268" t="s">
        <v>289</v>
      </c>
      <c r="G8" s="269" t="s">
        <v>160</v>
      </c>
      <c r="H8" s="130" t="str">
        <f>VLOOKUP(E8,WD!$C$6:$K$65,3,FALSE)</f>
        <v>Men</v>
      </c>
      <c r="I8" s="130" t="s">
        <v>289</v>
      </c>
      <c r="J8" s="130" t="str">
        <f>VLOOKUP(G8,WD!$C$6:$K$65,3,FALSE)</f>
        <v>筱瑩</v>
      </c>
      <c r="K8" s="111">
        <v>2</v>
      </c>
      <c r="L8" s="111">
        <f>21+21</f>
        <v>42</v>
      </c>
      <c r="M8" s="111">
        <f>11+11</f>
        <v>22</v>
      </c>
      <c r="N8" s="111">
        <v>0</v>
      </c>
      <c r="O8" s="263" t="s">
        <v>862</v>
      </c>
      <c r="R8" s="565">
        <v>2</v>
      </c>
      <c r="S8" s="566" t="s">
        <v>414</v>
      </c>
      <c r="T8" s="566">
        <v>1</v>
      </c>
      <c r="U8" s="566">
        <v>1</v>
      </c>
      <c r="V8" s="566">
        <f>T8*3+U8*0</f>
        <v>3</v>
      </c>
      <c r="W8" s="461"/>
      <c r="X8" s="565">
        <v>2</v>
      </c>
      <c r="Y8" s="566" t="s">
        <v>827</v>
      </c>
      <c r="Z8" s="566">
        <v>0</v>
      </c>
      <c r="AA8" s="566">
        <v>1</v>
      </c>
      <c r="AB8" s="566">
        <f>Z8*3+AA8*0</f>
        <v>0</v>
      </c>
      <c r="AC8" s="461"/>
    </row>
    <row r="9" spans="1:29" ht="15.75">
      <c r="A9" s="131" t="e">
        <f>IF(#REF!&lt;&gt;#REF!,#REF!,"")</f>
        <v>#REF!</v>
      </c>
      <c r="B9" s="264">
        <v>4</v>
      </c>
      <c r="C9" s="258" t="s">
        <v>238</v>
      </c>
      <c r="D9" s="259">
        <v>1</v>
      </c>
      <c r="E9" s="260" t="s">
        <v>115</v>
      </c>
      <c r="F9" s="261" t="s">
        <v>289</v>
      </c>
      <c r="G9" s="262" t="s">
        <v>197</v>
      </c>
      <c r="H9" s="130" t="str">
        <f>VLOOKUP(E9,WD!$C$6:$K$65,3,FALSE)</f>
        <v>GG</v>
      </c>
      <c r="I9" s="130" t="s">
        <v>289</v>
      </c>
      <c r="J9" s="130" t="str">
        <f>VLOOKUP(G9,WD!$C$6:$K$65,3,FALSE)</f>
        <v>YMYM</v>
      </c>
      <c r="K9" s="579"/>
      <c r="L9" s="579"/>
      <c r="M9" s="579"/>
      <c r="N9" s="579"/>
      <c r="O9" s="263" t="s">
        <v>824</v>
      </c>
      <c r="R9" s="565">
        <v>3</v>
      </c>
      <c r="S9" s="566" t="s">
        <v>866</v>
      </c>
      <c r="T9" s="566">
        <v>0</v>
      </c>
      <c r="U9" s="566">
        <v>2</v>
      </c>
      <c r="V9" s="566">
        <f>T9*3+U9*0</f>
        <v>0</v>
      </c>
      <c r="W9" s="461">
        <v>48</v>
      </c>
      <c r="X9" s="565"/>
      <c r="Y9" s="580" t="s">
        <v>828</v>
      </c>
      <c r="Z9" s="580"/>
      <c r="AA9" s="580"/>
      <c r="AB9" s="580">
        <f>Z9*3+AA9*0</f>
        <v>0</v>
      </c>
      <c r="AC9" s="461"/>
    </row>
    <row r="10" spans="1:29" ht="15.75">
      <c r="A10" s="131" t="e">
        <f>IF(#REF!&lt;&gt;#REF!,#REF!,"")</f>
        <v>#REF!</v>
      </c>
      <c r="B10" s="257">
        <v>5</v>
      </c>
      <c r="C10" s="258" t="s">
        <v>238</v>
      </c>
      <c r="D10" s="259">
        <v>2</v>
      </c>
      <c r="E10" s="260" t="s">
        <v>157</v>
      </c>
      <c r="F10" s="261" t="s">
        <v>289</v>
      </c>
      <c r="G10" s="262" t="s">
        <v>197</v>
      </c>
      <c r="H10" s="130" t="str">
        <f>VLOOKUP(E10,WD!$C$6:$K$65,3,FALSE)</f>
        <v>The Passionate Miami</v>
      </c>
      <c r="I10" s="130" t="s">
        <v>289</v>
      </c>
      <c r="J10" s="130" t="str">
        <f>VLOOKUP(G10,WD!$C$6:$K$65,3,FALSE)</f>
        <v>YMYM</v>
      </c>
      <c r="K10" s="111">
        <v>0</v>
      </c>
      <c r="L10" s="111">
        <f>5+8</f>
        <v>13</v>
      </c>
      <c r="M10" s="111">
        <f>21+21</f>
        <v>42</v>
      </c>
      <c r="N10" s="111">
        <v>2</v>
      </c>
      <c r="O10" s="263" t="s">
        <v>825</v>
      </c>
      <c r="R10" s="565"/>
      <c r="S10" s="566"/>
      <c r="T10" s="566"/>
      <c r="U10" s="566"/>
      <c r="V10" s="566"/>
      <c r="W10" s="461"/>
      <c r="X10" s="565"/>
      <c r="Y10" s="566"/>
      <c r="Z10" s="566"/>
      <c r="AA10" s="566"/>
      <c r="AB10" s="566"/>
      <c r="AC10" s="461"/>
    </row>
    <row r="11" spans="1:15" ht="15.75">
      <c r="A11" s="131"/>
      <c r="B11" s="264">
        <v>6</v>
      </c>
      <c r="C11" s="270" t="s">
        <v>238</v>
      </c>
      <c r="D11" s="271">
        <v>3</v>
      </c>
      <c r="E11" s="267" t="s">
        <v>115</v>
      </c>
      <c r="F11" s="268" t="s">
        <v>289</v>
      </c>
      <c r="G11" s="269" t="s">
        <v>157</v>
      </c>
      <c r="H11" s="130" t="str">
        <f>VLOOKUP(E11,WD!$C$6:$K$65,3,FALSE)</f>
        <v>GG</v>
      </c>
      <c r="I11" s="130" t="s">
        <v>289</v>
      </c>
      <c r="J11" s="130" t="str">
        <f>VLOOKUP(G11,WD!$C$6:$K$65,3,FALSE)</f>
        <v>The Passionate Miami</v>
      </c>
      <c r="K11" s="579"/>
      <c r="L11" s="579"/>
      <c r="M11" s="579"/>
      <c r="N11" s="579"/>
      <c r="O11" s="263" t="s">
        <v>824</v>
      </c>
    </row>
    <row r="12" spans="1:28" ht="15.75">
      <c r="A12" s="131"/>
      <c r="B12" s="257">
        <v>7</v>
      </c>
      <c r="C12" s="258" t="s">
        <v>290</v>
      </c>
      <c r="D12" s="272">
        <v>1</v>
      </c>
      <c r="E12" s="273" t="s">
        <v>119</v>
      </c>
      <c r="F12" s="273" t="s">
        <v>289</v>
      </c>
      <c r="G12" s="274" t="s">
        <v>168</v>
      </c>
      <c r="H12" s="130" t="str">
        <f>VLOOKUP(E12,WD!$C$6:$K$65,3,FALSE)</f>
        <v>Yumika</v>
      </c>
      <c r="I12" s="130" t="s">
        <v>289</v>
      </c>
      <c r="J12" s="130" t="str">
        <f>VLOOKUP(G12,WD!$C$6:$K$65,3,FALSE)</f>
        <v>Reunion</v>
      </c>
      <c r="K12" s="111">
        <v>2</v>
      </c>
      <c r="L12" s="111">
        <f>21+21</f>
        <v>42</v>
      </c>
      <c r="M12" s="111">
        <f>6+17</f>
        <v>23</v>
      </c>
      <c r="N12" s="111">
        <v>0</v>
      </c>
      <c r="O12" s="263" t="s">
        <v>865</v>
      </c>
      <c r="Q12" s="600" t="s">
        <v>290</v>
      </c>
      <c r="R12" s="121" t="s">
        <v>286</v>
      </c>
      <c r="S12" s="122" t="s">
        <v>46</v>
      </c>
      <c r="T12" s="122" t="s">
        <v>287</v>
      </c>
      <c r="U12" s="122" t="s">
        <v>288</v>
      </c>
      <c r="V12" s="122" t="s">
        <v>57</v>
      </c>
      <c r="W12" s="600" t="s">
        <v>295</v>
      </c>
      <c r="X12" s="121" t="s">
        <v>286</v>
      </c>
      <c r="Y12" s="122" t="s">
        <v>46</v>
      </c>
      <c r="Z12" s="122" t="s">
        <v>287</v>
      </c>
      <c r="AA12" s="122" t="s">
        <v>288</v>
      </c>
      <c r="AB12" s="122" t="s">
        <v>57</v>
      </c>
    </row>
    <row r="13" spans="1:29" ht="15.75">
      <c r="A13" s="131"/>
      <c r="B13" s="264">
        <v>8</v>
      </c>
      <c r="C13" s="275" t="s">
        <v>290</v>
      </c>
      <c r="D13" s="276">
        <v>2</v>
      </c>
      <c r="E13" s="261" t="s">
        <v>194</v>
      </c>
      <c r="F13" s="261" t="s">
        <v>289</v>
      </c>
      <c r="G13" s="262" t="s">
        <v>168</v>
      </c>
      <c r="H13" s="130" t="str">
        <f>VLOOKUP(E13,WD!$C$6:$K$65,3,FALSE)</f>
        <v>葵青-啫喱冰冰</v>
      </c>
      <c r="I13" s="130" t="s">
        <v>289</v>
      </c>
      <c r="J13" s="130" t="str">
        <f>VLOOKUP(G13,WD!$C$6:$K$65,3,FALSE)</f>
        <v>Reunion</v>
      </c>
      <c r="K13" s="579"/>
      <c r="L13" s="579"/>
      <c r="M13" s="579"/>
      <c r="N13" s="579"/>
      <c r="O13" s="263" t="s">
        <v>863</v>
      </c>
      <c r="R13" s="565">
        <v>1</v>
      </c>
      <c r="S13" s="566" t="s">
        <v>399</v>
      </c>
      <c r="T13" s="566">
        <v>1</v>
      </c>
      <c r="U13" s="566">
        <v>0</v>
      </c>
      <c r="V13" s="566">
        <f>T13*3+U13*0</f>
        <v>3</v>
      </c>
      <c r="W13" s="461"/>
      <c r="X13" s="565">
        <v>1</v>
      </c>
      <c r="Y13" s="566" t="s">
        <v>868</v>
      </c>
      <c r="Z13" s="566">
        <v>3</v>
      </c>
      <c r="AA13" s="566">
        <v>0</v>
      </c>
      <c r="AB13" s="566">
        <f>Z13*3+AA13*0</f>
        <v>9</v>
      </c>
      <c r="AC13" s="461"/>
    </row>
    <row r="14" spans="1:29" ht="15.75">
      <c r="A14" s="131"/>
      <c r="B14" s="257">
        <v>9</v>
      </c>
      <c r="C14" s="270" t="s">
        <v>290</v>
      </c>
      <c r="D14" s="271">
        <v>3</v>
      </c>
      <c r="E14" s="268" t="s">
        <v>119</v>
      </c>
      <c r="F14" s="268" t="s">
        <v>289</v>
      </c>
      <c r="G14" s="269" t="s">
        <v>194</v>
      </c>
      <c r="H14" s="130" t="str">
        <f>VLOOKUP(E14,WD!$C$6:$K$65,3,FALSE)</f>
        <v>Yumika</v>
      </c>
      <c r="I14" s="130" t="s">
        <v>289</v>
      </c>
      <c r="J14" s="130" t="str">
        <f>VLOOKUP(G14,WD!$C$6:$K$65,3,FALSE)</f>
        <v>葵青-啫喱冰冰</v>
      </c>
      <c r="K14" s="579"/>
      <c r="L14" s="579"/>
      <c r="M14" s="579"/>
      <c r="N14" s="579"/>
      <c r="O14" s="263" t="s">
        <v>863</v>
      </c>
      <c r="R14" s="565">
        <v>2</v>
      </c>
      <c r="S14" s="566" t="s">
        <v>420</v>
      </c>
      <c r="T14" s="566">
        <v>0</v>
      </c>
      <c r="U14" s="566">
        <v>1</v>
      </c>
      <c r="V14" s="566">
        <f>T14*3+U14*0</f>
        <v>0</v>
      </c>
      <c r="W14" s="461"/>
      <c r="X14" s="565">
        <v>2</v>
      </c>
      <c r="Y14" s="566" t="s">
        <v>402</v>
      </c>
      <c r="Z14" s="566">
        <v>2</v>
      </c>
      <c r="AA14" s="566">
        <v>1</v>
      </c>
      <c r="AB14" s="566">
        <f>Z14*3+AA14*0</f>
        <v>6</v>
      </c>
      <c r="AC14" s="461"/>
    </row>
    <row r="15" spans="1:29" ht="15.75">
      <c r="A15" s="131"/>
      <c r="B15" s="257">
        <v>10</v>
      </c>
      <c r="C15" s="258" t="s">
        <v>295</v>
      </c>
      <c r="D15" s="259">
        <v>1</v>
      </c>
      <c r="E15" s="260" t="s">
        <v>123</v>
      </c>
      <c r="F15" s="261" t="s">
        <v>289</v>
      </c>
      <c r="G15" s="262" t="s">
        <v>207</v>
      </c>
      <c r="H15" s="130" t="str">
        <f>VLOOKUP(E15,WD!$C$6:$K$65,3,FALSE)</f>
        <v>Blue team</v>
      </c>
      <c r="I15" s="567" t="s">
        <v>289</v>
      </c>
      <c r="J15" s="130" t="str">
        <f>VLOOKUP(G15,WD!$C$6:$K$65,3,FALSE)</f>
        <v>求奇</v>
      </c>
      <c r="K15" s="294">
        <v>2</v>
      </c>
      <c r="L15" s="294">
        <f>14+21+15</f>
        <v>50</v>
      </c>
      <c r="M15" s="294">
        <f>21+16+11</f>
        <v>48</v>
      </c>
      <c r="N15" s="294">
        <v>1</v>
      </c>
      <c r="O15" s="263" t="s">
        <v>781</v>
      </c>
      <c r="R15" s="594"/>
      <c r="S15" s="580" t="s">
        <v>867</v>
      </c>
      <c r="T15" s="580"/>
      <c r="U15" s="580"/>
      <c r="V15" s="580"/>
      <c r="W15" s="461"/>
      <c r="X15" s="565">
        <v>3</v>
      </c>
      <c r="Y15" s="566" t="s">
        <v>786</v>
      </c>
      <c r="Z15" s="566">
        <v>1</v>
      </c>
      <c r="AA15" s="566">
        <v>2</v>
      </c>
      <c r="AB15" s="566">
        <f>Z15*3+AA15*0</f>
        <v>3</v>
      </c>
      <c r="AC15" s="461">
        <v>48</v>
      </c>
    </row>
    <row r="16" spans="1:29" ht="16.5">
      <c r="A16" s="131"/>
      <c r="B16" s="257">
        <v>11</v>
      </c>
      <c r="C16" s="258" t="s">
        <v>295</v>
      </c>
      <c r="D16" s="259">
        <v>2</v>
      </c>
      <c r="E16" s="260" t="s">
        <v>195</v>
      </c>
      <c r="F16" s="261" t="s">
        <v>289</v>
      </c>
      <c r="G16" s="262" t="s">
        <v>171</v>
      </c>
      <c r="H16" s="130" t="str">
        <f>VLOOKUP(E16,WD!$C$6:$K$65,3,FALSE)</f>
        <v>下手</v>
      </c>
      <c r="I16" s="567" t="s">
        <v>289</v>
      </c>
      <c r="J16" s="130" t="str">
        <f>VLOOKUP(G16,WD!$C$6:$K$65,3,FALSE)</f>
        <v>MS YY</v>
      </c>
      <c r="K16" s="294">
        <v>2</v>
      </c>
      <c r="L16" s="294">
        <f>21+21</f>
        <v>42</v>
      </c>
      <c r="M16" s="294">
        <f>14+17</f>
        <v>31</v>
      </c>
      <c r="N16" s="294">
        <v>0</v>
      </c>
      <c r="O16" s="263" t="s">
        <v>782</v>
      </c>
      <c r="R16" s="565"/>
      <c r="S16" s="566"/>
      <c r="T16" s="566"/>
      <c r="U16" s="566"/>
      <c r="V16" s="566"/>
      <c r="W16" s="461"/>
      <c r="X16" s="565">
        <v>4</v>
      </c>
      <c r="Y16" s="570" t="s">
        <v>787</v>
      </c>
      <c r="Z16" s="566">
        <v>0</v>
      </c>
      <c r="AA16" s="566">
        <v>3</v>
      </c>
      <c r="AB16" s="566">
        <f>Z16*3+AA16*0</f>
        <v>0</v>
      </c>
      <c r="AC16" s="461">
        <v>36</v>
      </c>
    </row>
    <row r="17" spans="1:15" ht="15.75">
      <c r="A17" s="131"/>
      <c r="B17" s="257">
        <v>12</v>
      </c>
      <c r="C17" s="258" t="s">
        <v>295</v>
      </c>
      <c r="D17" s="259">
        <v>3</v>
      </c>
      <c r="E17" s="260" t="s">
        <v>123</v>
      </c>
      <c r="F17" s="261" t="s">
        <v>289</v>
      </c>
      <c r="G17" s="262" t="s">
        <v>171</v>
      </c>
      <c r="H17" s="130" t="str">
        <f>VLOOKUP(E17,WD!$C$6:$K$65,3,FALSE)</f>
        <v>Blue team</v>
      </c>
      <c r="I17" s="567" t="s">
        <v>289</v>
      </c>
      <c r="J17" s="130" t="str">
        <f>VLOOKUP(G17,WD!$C$6:$K$65,3,FALSE)</f>
        <v>MS YY</v>
      </c>
      <c r="K17" s="294">
        <v>2</v>
      </c>
      <c r="L17" s="294">
        <f>23+21</f>
        <v>44</v>
      </c>
      <c r="M17" s="294">
        <f>21+18</f>
        <v>39</v>
      </c>
      <c r="N17" s="294">
        <v>0</v>
      </c>
      <c r="O17" s="263" t="s">
        <v>783</v>
      </c>
    </row>
    <row r="18" spans="2:15" ht="15.75">
      <c r="B18" s="257">
        <v>13</v>
      </c>
      <c r="C18" s="258" t="s">
        <v>295</v>
      </c>
      <c r="D18" s="259">
        <v>4</v>
      </c>
      <c r="E18" s="260" t="s">
        <v>195</v>
      </c>
      <c r="F18" s="261" t="s">
        <v>289</v>
      </c>
      <c r="G18" s="262" t="s">
        <v>207</v>
      </c>
      <c r="H18" s="130" t="str">
        <f>VLOOKUP(E18,WD!$C$6:$K$65,3,FALSE)</f>
        <v>下手</v>
      </c>
      <c r="I18" s="567" t="s">
        <v>289</v>
      </c>
      <c r="J18" s="130" t="str">
        <f>VLOOKUP(G18,WD!$C$6:$K$65,3,FALSE)</f>
        <v>求奇</v>
      </c>
      <c r="K18" s="294">
        <v>2</v>
      </c>
      <c r="L18" s="294">
        <f>19+21+15</f>
        <v>55</v>
      </c>
      <c r="M18" s="294">
        <f>21+11+9</f>
        <v>41</v>
      </c>
      <c r="N18" s="294">
        <v>1</v>
      </c>
      <c r="O18" s="263" t="s">
        <v>784</v>
      </c>
    </row>
    <row r="19" spans="2:15" ht="15.75">
      <c r="B19" s="257">
        <v>14</v>
      </c>
      <c r="C19" s="258" t="s">
        <v>295</v>
      </c>
      <c r="D19" s="259">
        <v>5</v>
      </c>
      <c r="E19" s="260" t="s">
        <v>171</v>
      </c>
      <c r="F19" s="261" t="s">
        <v>289</v>
      </c>
      <c r="G19" s="262" t="s">
        <v>207</v>
      </c>
      <c r="H19" s="130" t="str">
        <f>VLOOKUP(E19,WD!$C$6:$K$65,3,FALSE)</f>
        <v>MS YY</v>
      </c>
      <c r="I19" s="567" t="s">
        <v>289</v>
      </c>
      <c r="J19" s="130" t="str">
        <f>VLOOKUP(G19,WD!$C$6:$K$65,3,FALSE)</f>
        <v>求奇</v>
      </c>
      <c r="K19" s="294">
        <v>2</v>
      </c>
      <c r="L19" s="294">
        <f>21+21</f>
        <v>42</v>
      </c>
      <c r="M19" s="294">
        <f>14+14</f>
        <v>28</v>
      </c>
      <c r="N19" s="294">
        <v>0</v>
      </c>
      <c r="O19" s="263" t="s">
        <v>785</v>
      </c>
    </row>
    <row r="20" spans="2:15" ht="15.75">
      <c r="B20" s="277">
        <v>15</v>
      </c>
      <c r="C20" s="568" t="s">
        <v>295</v>
      </c>
      <c r="D20" s="271">
        <v>6</v>
      </c>
      <c r="E20" s="267" t="s">
        <v>123</v>
      </c>
      <c r="F20" s="268" t="s">
        <v>289</v>
      </c>
      <c r="G20" s="269" t="s">
        <v>195</v>
      </c>
      <c r="H20" s="145" t="str">
        <f>VLOOKUP(E20,WD!$C$6:$K$65,3,FALSE)</f>
        <v>Blue team</v>
      </c>
      <c r="I20" s="569" t="s">
        <v>289</v>
      </c>
      <c r="J20" s="145" t="str">
        <f>VLOOKUP(G20,WD!$C$6:$K$65,3,FALSE)</f>
        <v>下手</v>
      </c>
      <c r="K20" s="579"/>
      <c r="L20" s="579"/>
      <c r="M20" s="579"/>
      <c r="N20" s="579"/>
      <c r="O20" s="263" t="s">
        <v>864</v>
      </c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9"/>
  <sheetViews>
    <sheetView view="pageBreakPreview" zoomScale="85" zoomScaleNormal="85" zoomScaleSheetLayoutView="85" workbookViewId="0" topLeftCell="A102">
      <selection activeCell="F129" sqref="F129"/>
    </sheetView>
  </sheetViews>
  <sheetFormatPr defaultColWidth="8.75390625" defaultRowHeight="16.5"/>
  <cols>
    <col min="1" max="1" width="8.75390625" style="278" customWidth="1"/>
    <col min="2" max="2" width="13.375" style="278" customWidth="1"/>
    <col min="3" max="3" width="9.75390625" style="279" customWidth="1"/>
    <col min="4" max="4" width="11.875" style="279" customWidth="1"/>
    <col min="5" max="5" width="11.50390625" style="279" customWidth="1"/>
    <col min="6" max="6" width="12.875" style="279" bestFit="1" customWidth="1"/>
    <col min="7" max="7" width="8.75390625" style="278" customWidth="1"/>
    <col min="8" max="9" width="12.625" style="278" customWidth="1"/>
    <col min="10" max="10" width="15.375" style="278" customWidth="1"/>
    <col min="11" max="11" width="9.75390625" style="278" customWidth="1"/>
    <col min="12" max="13" width="8.75390625" style="279" customWidth="1"/>
    <col min="14" max="15" width="8.75390625" style="278" customWidth="1"/>
    <col min="16" max="16384" width="8.75390625" style="278" customWidth="1"/>
  </cols>
  <sheetData>
    <row r="1" spans="2:10" ht="16.5" customHeight="1">
      <c r="B1" s="280"/>
      <c r="C1" s="281"/>
      <c r="D1" s="281"/>
      <c r="E1" s="281"/>
      <c r="F1" s="624" t="s">
        <v>452</v>
      </c>
      <c r="G1" s="624"/>
      <c r="H1" s="624"/>
      <c r="I1" s="624"/>
      <c r="J1" s="624"/>
    </row>
    <row r="2" spans="3:10" ht="16.5" customHeight="1">
      <c r="C2" s="281"/>
      <c r="D2" s="281"/>
      <c r="E2" s="281"/>
      <c r="F2" s="621" t="s">
        <v>453</v>
      </c>
      <c r="G2" s="621"/>
      <c r="H2" s="621"/>
      <c r="I2" s="621"/>
      <c r="J2" s="621"/>
    </row>
    <row r="3" spans="3:10" ht="16.5" customHeight="1">
      <c r="C3" s="281"/>
      <c r="D3" s="281"/>
      <c r="E3" s="281"/>
      <c r="F3" s="282"/>
      <c r="G3" s="282"/>
      <c r="H3" s="282"/>
      <c r="I3" s="282"/>
      <c r="J3" s="282"/>
    </row>
    <row r="4" spans="3:11" ht="16.5" customHeight="1">
      <c r="C4" s="281"/>
      <c r="D4" s="281"/>
      <c r="E4" s="283"/>
      <c r="F4" s="284"/>
      <c r="G4" s="285"/>
      <c r="H4" s="286" t="s">
        <v>454</v>
      </c>
      <c r="I4" s="285"/>
      <c r="J4" s="285"/>
      <c r="K4" s="284"/>
    </row>
    <row r="5" spans="5:11" ht="16.5" customHeight="1">
      <c r="E5" s="287"/>
      <c r="F5" s="284"/>
      <c r="G5" s="284"/>
      <c r="H5" s="288" t="s">
        <v>455</v>
      </c>
      <c r="I5" s="284"/>
      <c r="J5" s="284"/>
      <c r="K5" s="284"/>
    </row>
    <row r="6" spans="2:10" ht="16.5">
      <c r="B6" s="279"/>
      <c r="G6" s="279"/>
      <c r="H6" s="279"/>
      <c r="I6" s="279"/>
      <c r="J6" s="279"/>
    </row>
    <row r="7" spans="2:14" ht="16.5">
      <c r="B7" s="279"/>
      <c r="D7" s="620" t="s">
        <v>810</v>
      </c>
      <c r="E7" s="620"/>
      <c r="F7" s="620"/>
      <c r="G7" s="279"/>
      <c r="H7" s="279"/>
      <c r="I7" s="279"/>
      <c r="J7" s="279"/>
      <c r="K7" s="620" t="s">
        <v>811</v>
      </c>
      <c r="L7" s="620"/>
      <c r="M7" s="620"/>
      <c r="N7" s="620"/>
    </row>
    <row r="8" spans="2:15" ht="16.5">
      <c r="B8" s="279"/>
      <c r="C8" s="289" t="s">
        <v>257</v>
      </c>
      <c r="D8" s="290" t="s">
        <v>456</v>
      </c>
      <c r="E8" s="291" t="s">
        <v>457</v>
      </c>
      <c r="F8" s="291" t="s">
        <v>458</v>
      </c>
      <c r="G8" s="292"/>
      <c r="H8" s="279"/>
      <c r="I8" s="279"/>
      <c r="J8" s="293" t="s">
        <v>459</v>
      </c>
      <c r="K8" s="293" t="s">
        <v>460</v>
      </c>
      <c r="L8" s="619" t="s">
        <v>735</v>
      </c>
      <c r="M8" s="619"/>
      <c r="N8" s="619"/>
      <c r="O8" s="619"/>
    </row>
    <row r="9" spans="2:15" ht="16.5">
      <c r="B9" s="279"/>
      <c r="C9" s="295"/>
      <c r="D9" s="296" t="s">
        <v>462</v>
      </c>
      <c r="E9" s="296" t="s">
        <v>463</v>
      </c>
      <c r="F9" s="297" t="s">
        <v>285</v>
      </c>
      <c r="G9" s="298"/>
      <c r="H9" s="279"/>
      <c r="I9" s="279"/>
      <c r="J9" s="299" t="s">
        <v>464</v>
      </c>
      <c r="K9" s="299" t="s">
        <v>465</v>
      </c>
      <c r="L9" s="294" t="s">
        <v>237</v>
      </c>
      <c r="M9" s="294" t="s">
        <v>238</v>
      </c>
      <c r="N9" s="299"/>
      <c r="O9" s="294"/>
    </row>
    <row r="10" spans="2:15" ht="16.5">
      <c r="B10" s="300"/>
      <c r="C10" s="295"/>
      <c r="D10" s="296" t="s">
        <v>466</v>
      </c>
      <c r="E10" s="301" t="s">
        <v>277</v>
      </c>
      <c r="F10" s="302" t="s">
        <v>467</v>
      </c>
      <c r="G10" s="298"/>
      <c r="H10" s="279"/>
      <c r="I10" s="279"/>
      <c r="J10" s="303">
        <v>0.375</v>
      </c>
      <c r="K10" s="294">
        <v>1</v>
      </c>
      <c r="L10" s="304" t="s">
        <v>468</v>
      </c>
      <c r="M10" s="305" t="s">
        <v>469</v>
      </c>
      <c r="N10" s="306"/>
      <c r="O10" s="304"/>
    </row>
    <row r="11" spans="2:15" ht="16.5">
      <c r="B11" s="279"/>
      <c r="C11" s="307"/>
      <c r="D11" s="308"/>
      <c r="E11" s="301"/>
      <c r="F11" s="302"/>
      <c r="G11" s="309"/>
      <c r="H11" s="279"/>
      <c r="I11" s="279"/>
      <c r="J11" s="303">
        <v>0.3888888888888889</v>
      </c>
      <c r="K11" s="294">
        <v>2</v>
      </c>
      <c r="L11" s="304" t="s">
        <v>470</v>
      </c>
      <c r="M11" s="304" t="s">
        <v>471</v>
      </c>
      <c r="N11" s="304"/>
      <c r="O11" s="310"/>
    </row>
    <row r="12" spans="2:15" ht="16.5">
      <c r="B12" s="279"/>
      <c r="D12" s="296"/>
      <c r="E12" s="296"/>
      <c r="F12" s="297"/>
      <c r="G12" s="297"/>
      <c r="H12" s="279"/>
      <c r="I12" s="279"/>
      <c r="J12" s="303">
        <v>0.402777777777778</v>
      </c>
      <c r="K12" s="294">
        <v>3</v>
      </c>
      <c r="L12" s="304" t="s">
        <v>472</v>
      </c>
      <c r="M12" s="311" t="s">
        <v>473</v>
      </c>
      <c r="N12" s="304"/>
      <c r="O12" s="310"/>
    </row>
    <row r="13" spans="2:15" ht="16.5">
      <c r="B13" s="293" t="s">
        <v>459</v>
      </c>
      <c r="C13" s="293" t="s">
        <v>460</v>
      </c>
      <c r="D13" s="294" t="s">
        <v>735</v>
      </c>
      <c r="E13" s="294"/>
      <c r="F13" s="294"/>
      <c r="G13" s="294"/>
      <c r="H13" s="279"/>
      <c r="I13" s="279"/>
      <c r="J13" s="303">
        <v>0.416666666666667</v>
      </c>
      <c r="K13" s="293">
        <v>4</v>
      </c>
      <c r="L13" s="293" t="s">
        <v>474</v>
      </c>
      <c r="M13" s="304" t="s">
        <v>475</v>
      </c>
      <c r="N13" s="304"/>
      <c r="O13" s="310"/>
    </row>
    <row r="14" spans="2:15" ht="16.5">
      <c r="B14" s="299" t="s">
        <v>464</v>
      </c>
      <c r="C14" s="299" t="s">
        <v>465</v>
      </c>
      <c r="D14" s="294" t="s">
        <v>237</v>
      </c>
      <c r="E14" s="294" t="s">
        <v>238</v>
      </c>
      <c r="F14" s="299"/>
      <c r="G14" s="294"/>
      <c r="H14" s="279"/>
      <c r="I14" s="279"/>
      <c r="J14" s="312">
        <v>0.4305555555555556</v>
      </c>
      <c r="K14" s="294">
        <v>5</v>
      </c>
      <c r="L14" s="294" t="s">
        <v>476</v>
      </c>
      <c r="M14" s="311" t="s">
        <v>477</v>
      </c>
      <c r="N14" s="304"/>
      <c r="O14" s="310"/>
    </row>
    <row r="15" spans="2:15" ht="16.5">
      <c r="B15" s="312">
        <v>0.5833333333333334</v>
      </c>
      <c r="C15" s="294">
        <v>1</v>
      </c>
      <c r="D15" s="304" t="s">
        <v>481</v>
      </c>
      <c r="E15" s="304" t="s">
        <v>482</v>
      </c>
      <c r="F15" s="304"/>
      <c r="G15" s="304"/>
      <c r="H15" s="279"/>
      <c r="I15" s="279"/>
      <c r="J15" s="303"/>
      <c r="K15" s="313" t="s">
        <v>478</v>
      </c>
      <c r="L15" s="314"/>
      <c r="M15" s="314"/>
      <c r="N15" s="314"/>
      <c r="O15" s="315"/>
    </row>
    <row r="16" spans="2:15" ht="16.5">
      <c r="B16" s="312">
        <v>0.5972222222222222</v>
      </c>
      <c r="C16" s="294">
        <v>2</v>
      </c>
      <c r="D16" s="304" t="s">
        <v>485</v>
      </c>
      <c r="E16" s="304" t="s">
        <v>486</v>
      </c>
      <c r="F16" s="304"/>
      <c r="G16" s="304"/>
      <c r="H16" s="279"/>
      <c r="I16" s="279"/>
      <c r="J16" s="303">
        <v>0.5833333333333334</v>
      </c>
      <c r="K16" s="294">
        <v>6</v>
      </c>
      <c r="L16" s="304" t="s">
        <v>479</v>
      </c>
      <c r="M16" s="305" t="s">
        <v>480</v>
      </c>
      <c r="N16" s="304"/>
      <c r="O16" s="310"/>
    </row>
    <row r="17" spans="2:15" ht="16.5">
      <c r="B17" s="312">
        <v>0.611111111111111</v>
      </c>
      <c r="C17" s="294">
        <v>3</v>
      </c>
      <c r="D17" s="304" t="s">
        <v>489</v>
      </c>
      <c r="E17" s="304" t="s">
        <v>490</v>
      </c>
      <c r="F17" s="294"/>
      <c r="G17" s="294"/>
      <c r="H17" s="279"/>
      <c r="I17" s="279"/>
      <c r="J17" s="303">
        <v>0.5972222222222222</v>
      </c>
      <c r="K17" s="294">
        <v>7</v>
      </c>
      <c r="L17" s="304" t="s">
        <v>483</v>
      </c>
      <c r="M17" s="304" t="s">
        <v>484</v>
      </c>
      <c r="N17" s="304"/>
      <c r="O17" s="310"/>
    </row>
    <row r="18" spans="2:15" ht="16.5">
      <c r="B18" s="312">
        <v>0.625</v>
      </c>
      <c r="C18" s="294">
        <v>4</v>
      </c>
      <c r="D18" s="304" t="s">
        <v>491</v>
      </c>
      <c r="E18" s="294" t="s">
        <v>492</v>
      </c>
      <c r="F18" s="294"/>
      <c r="G18" s="294"/>
      <c r="H18" s="279"/>
      <c r="I18" s="279"/>
      <c r="J18" s="303">
        <v>0.611111111111111</v>
      </c>
      <c r="K18" s="294">
        <v>8</v>
      </c>
      <c r="L18" s="304" t="s">
        <v>487</v>
      </c>
      <c r="M18" s="294" t="s">
        <v>488</v>
      </c>
      <c r="N18" s="304"/>
      <c r="O18" s="310"/>
    </row>
    <row r="19" spans="2:15" ht="16.5">
      <c r="B19" s="312"/>
      <c r="C19" s="294"/>
      <c r="D19" s="294"/>
      <c r="E19" s="304"/>
      <c r="F19" s="294"/>
      <c r="G19" s="294"/>
      <c r="H19" s="279"/>
      <c r="I19" s="279"/>
      <c r="J19" s="312"/>
      <c r="K19" s="294"/>
      <c r="L19" s="294"/>
      <c r="M19" s="294"/>
      <c r="N19" s="294"/>
      <c r="O19" s="294"/>
    </row>
    <row r="20" spans="2:15" ht="16.5">
      <c r="B20" s="312"/>
      <c r="C20" s="294"/>
      <c r="D20" s="304"/>
      <c r="E20" s="304"/>
      <c r="F20" s="294"/>
      <c r="G20" s="294"/>
      <c r="H20" s="279"/>
      <c r="I20" s="279"/>
      <c r="J20" s="300"/>
      <c r="K20" s="279"/>
      <c r="M20" s="1"/>
      <c r="N20" s="279"/>
      <c r="O20" s="279"/>
    </row>
    <row r="21" spans="8:13" ht="16.5">
      <c r="H21" s="279"/>
      <c r="I21" s="279"/>
      <c r="J21" s="279"/>
      <c r="L21" s="278"/>
      <c r="M21" s="278"/>
    </row>
    <row r="22" spans="2:13" ht="16.5">
      <c r="B22" s="279"/>
      <c r="C22" s="316"/>
      <c r="L22" s="278"/>
      <c r="M22" s="278"/>
    </row>
    <row r="23" spans="2:14" ht="16.5">
      <c r="B23" s="279"/>
      <c r="D23" s="620" t="s">
        <v>812</v>
      </c>
      <c r="E23" s="620"/>
      <c r="F23" s="620"/>
      <c r="G23" s="279"/>
      <c r="H23" s="279"/>
      <c r="I23" s="279"/>
      <c r="J23" s="279"/>
      <c r="K23" s="621" t="s">
        <v>813</v>
      </c>
      <c r="L23" s="621"/>
      <c r="M23" s="621"/>
      <c r="N23" s="621"/>
    </row>
    <row r="24" spans="2:9" ht="16.5">
      <c r="B24" s="279"/>
      <c r="C24" s="305" t="s">
        <v>493</v>
      </c>
      <c r="G24" s="279"/>
      <c r="H24" s="279"/>
      <c r="I24" s="279"/>
    </row>
    <row r="25" spans="2:15" ht="16.5">
      <c r="B25" s="279"/>
      <c r="C25" s="289" t="s">
        <v>257</v>
      </c>
      <c r="D25" s="290" t="s">
        <v>456</v>
      </c>
      <c r="E25" s="291" t="s">
        <v>457</v>
      </c>
      <c r="F25" s="291" t="s">
        <v>458</v>
      </c>
      <c r="G25" s="292"/>
      <c r="H25" s="279"/>
      <c r="I25" s="279"/>
      <c r="J25" s="293" t="s">
        <v>459</v>
      </c>
      <c r="K25" s="293" t="s">
        <v>460</v>
      </c>
      <c r="L25" s="619" t="s">
        <v>735</v>
      </c>
      <c r="M25" s="619"/>
      <c r="N25" s="619"/>
      <c r="O25" s="619"/>
    </row>
    <row r="26" spans="2:15" ht="16.5">
      <c r="B26" s="300"/>
      <c r="C26" s="295"/>
      <c r="D26" s="296" t="s">
        <v>462</v>
      </c>
      <c r="E26" s="296" t="s">
        <v>463</v>
      </c>
      <c r="F26" s="297" t="s">
        <v>285</v>
      </c>
      <c r="G26" s="298"/>
      <c r="H26" s="279"/>
      <c r="I26" s="279"/>
      <c r="J26" s="299" t="s">
        <v>464</v>
      </c>
      <c r="K26" s="299" t="s">
        <v>465</v>
      </c>
      <c r="L26" s="294" t="s">
        <v>237</v>
      </c>
      <c r="M26" s="294" t="s">
        <v>238</v>
      </c>
      <c r="N26" s="299"/>
      <c r="O26" s="294"/>
    </row>
    <row r="27" spans="2:15" ht="16.5">
      <c r="B27" s="279"/>
      <c r="C27" s="295"/>
      <c r="D27" s="296" t="s">
        <v>466</v>
      </c>
      <c r="E27" s="301" t="s">
        <v>277</v>
      </c>
      <c r="F27" s="302" t="s">
        <v>467</v>
      </c>
      <c r="G27" s="298"/>
      <c r="H27" s="279"/>
      <c r="I27" s="279"/>
      <c r="J27" s="303">
        <v>0.375</v>
      </c>
      <c r="K27" s="294">
        <v>1</v>
      </c>
      <c r="L27" s="294" t="s">
        <v>432</v>
      </c>
      <c r="M27" s="304" t="s">
        <v>496</v>
      </c>
      <c r="N27" s="304"/>
      <c r="O27" s="310"/>
    </row>
    <row r="28" spans="2:15" ht="16.5">
      <c r="B28" s="279"/>
      <c r="C28" s="307"/>
      <c r="D28" s="308"/>
      <c r="E28" s="301"/>
      <c r="F28" s="302"/>
      <c r="G28" s="309"/>
      <c r="H28" s="279"/>
      <c r="I28" s="279"/>
      <c r="J28" s="303">
        <v>0.3888888888888889</v>
      </c>
      <c r="K28" s="294">
        <v>2</v>
      </c>
      <c r="L28" s="293" t="s">
        <v>434</v>
      </c>
      <c r="M28" s="304" t="s">
        <v>497</v>
      </c>
      <c r="N28" s="304"/>
      <c r="O28" s="310"/>
    </row>
    <row r="29" spans="2:15" ht="16.5">
      <c r="B29" s="279"/>
      <c r="H29" s="279"/>
      <c r="I29" s="279"/>
      <c r="J29" s="303">
        <v>0.402777777777778</v>
      </c>
      <c r="K29" s="294">
        <v>3</v>
      </c>
      <c r="L29" s="294" t="s">
        <v>257</v>
      </c>
      <c r="M29" s="304" t="s">
        <v>494</v>
      </c>
      <c r="N29" s="304"/>
      <c r="O29" s="310"/>
    </row>
    <row r="30" spans="2:15" ht="16.5">
      <c r="B30" s="293" t="s">
        <v>459</v>
      </c>
      <c r="C30" s="293" t="s">
        <v>460</v>
      </c>
      <c r="D30" s="619" t="s">
        <v>735</v>
      </c>
      <c r="E30" s="619"/>
      <c r="F30" s="619"/>
      <c r="G30" s="619"/>
      <c r="H30" s="279"/>
      <c r="I30" s="279"/>
      <c r="J30" s="303">
        <v>0.416666666666667</v>
      </c>
      <c r="K30" s="293">
        <v>4</v>
      </c>
      <c r="L30" s="294" t="s">
        <v>260</v>
      </c>
      <c r="M30" s="304" t="s">
        <v>495</v>
      </c>
      <c r="N30" s="317"/>
      <c r="O30" s="318"/>
    </row>
    <row r="31" spans="2:15" ht="16.5">
      <c r="B31" s="299" t="s">
        <v>464</v>
      </c>
      <c r="C31" s="299" t="s">
        <v>465</v>
      </c>
      <c r="D31" s="294" t="s">
        <v>237</v>
      </c>
      <c r="E31" s="294" t="s">
        <v>238</v>
      </c>
      <c r="F31" s="299"/>
      <c r="G31" s="294"/>
      <c r="H31" s="279"/>
      <c r="I31" s="279"/>
      <c r="J31" s="312"/>
      <c r="K31" s="294"/>
      <c r="L31" s="315"/>
      <c r="M31" s="310"/>
      <c r="N31" s="306"/>
      <c r="O31" s="306"/>
    </row>
    <row r="32" spans="2:15" ht="16.5">
      <c r="B32" s="303">
        <v>0.5833333333333334</v>
      </c>
      <c r="C32" s="294">
        <v>1</v>
      </c>
      <c r="D32" s="304" t="s">
        <v>548</v>
      </c>
      <c r="E32" s="294" t="s">
        <v>549</v>
      </c>
      <c r="F32" s="304"/>
      <c r="G32" s="312"/>
      <c r="H32" s="279"/>
      <c r="I32" s="279"/>
      <c r="J32" s="313"/>
      <c r="K32" s="313" t="s">
        <v>478</v>
      </c>
      <c r="L32" s="314"/>
      <c r="M32" s="314"/>
      <c r="N32" s="314"/>
      <c r="O32" s="315"/>
    </row>
    <row r="33" spans="2:15" ht="16.5">
      <c r="B33" s="303">
        <v>0.5972222222222222</v>
      </c>
      <c r="C33" s="294">
        <v>2</v>
      </c>
      <c r="D33" s="304" t="s">
        <v>550</v>
      </c>
      <c r="E33" s="294" t="s">
        <v>551</v>
      </c>
      <c r="F33" s="304"/>
      <c r="G33" s="312"/>
      <c r="H33" s="279"/>
      <c r="I33" s="279"/>
      <c r="J33" s="303">
        <v>0.5625</v>
      </c>
      <c r="K33" s="294">
        <v>5</v>
      </c>
      <c r="L33" s="294" t="s">
        <v>435</v>
      </c>
      <c r="M33" s="304" t="s">
        <v>500</v>
      </c>
      <c r="N33" s="304"/>
      <c r="O33" s="310"/>
    </row>
    <row r="34" spans="2:15" ht="16.5">
      <c r="B34" s="303">
        <v>0.611111111111111</v>
      </c>
      <c r="C34" s="294">
        <v>3</v>
      </c>
      <c r="D34" s="439" t="s">
        <v>552</v>
      </c>
      <c r="E34" s="293" t="s">
        <v>553</v>
      </c>
      <c r="F34" s="304"/>
      <c r="G34" s="312"/>
      <c r="H34" s="279"/>
      <c r="I34" s="279"/>
      <c r="J34" s="303">
        <v>0.576388888888889</v>
      </c>
      <c r="K34" s="294">
        <v>6</v>
      </c>
      <c r="L34" s="294" t="s">
        <v>433</v>
      </c>
      <c r="M34" s="304" t="s">
        <v>501</v>
      </c>
      <c r="N34" s="294"/>
      <c r="O34" s="294"/>
    </row>
    <row r="35" spans="2:15" ht="16.5">
      <c r="B35" s="303"/>
      <c r="C35" s="313"/>
      <c r="D35" s="440"/>
      <c r="E35" s="440"/>
      <c r="G35" s="312"/>
      <c r="H35" s="279"/>
      <c r="I35" s="279"/>
      <c r="J35" s="303">
        <v>0.5902777777777778</v>
      </c>
      <c r="K35" s="294">
        <v>7</v>
      </c>
      <c r="L35" s="305" t="s">
        <v>265</v>
      </c>
      <c r="M35" s="304" t="s">
        <v>498</v>
      </c>
      <c r="N35" s="306"/>
      <c r="O35" s="306"/>
    </row>
    <row r="36" spans="2:15" ht="16.5">
      <c r="B36" s="312"/>
      <c r="C36" s="294"/>
      <c r="D36" s="323"/>
      <c r="E36" s="323"/>
      <c r="F36" s="304"/>
      <c r="G36" s="294"/>
      <c r="H36" s="279"/>
      <c r="I36" s="279"/>
      <c r="J36" s="312">
        <v>0.6041666666666666</v>
      </c>
      <c r="K36" s="294">
        <v>8</v>
      </c>
      <c r="L36" s="313" t="s">
        <v>258</v>
      </c>
      <c r="M36" s="304" t="s">
        <v>499</v>
      </c>
      <c r="N36" s="306"/>
      <c r="O36" s="304"/>
    </row>
    <row r="37" spans="2:9" ht="16.5" customHeight="1">
      <c r="B37" s="312"/>
      <c r="C37" s="294"/>
      <c r="D37" s="304"/>
      <c r="E37" s="304"/>
      <c r="F37" s="304"/>
      <c r="G37" s="294"/>
      <c r="H37" s="279"/>
      <c r="I37" s="279"/>
    </row>
    <row r="38" spans="2:10" ht="16.5">
      <c r="B38" s="300"/>
      <c r="D38" s="1"/>
      <c r="E38" s="1"/>
      <c r="G38" s="279"/>
      <c r="H38" s="279"/>
      <c r="I38" s="279"/>
      <c r="J38" s="279"/>
    </row>
    <row r="39" spans="2:13" ht="16.5">
      <c r="B39" s="279"/>
      <c r="C39" s="316"/>
      <c r="L39" s="278"/>
      <c r="M39" s="278"/>
    </row>
    <row r="40" spans="2:14" ht="16.5">
      <c r="B40" s="279"/>
      <c r="D40" s="620" t="s">
        <v>814</v>
      </c>
      <c r="E40" s="620"/>
      <c r="F40" s="620"/>
      <c r="G40" s="279"/>
      <c r="J40" s="279"/>
      <c r="K40" s="621" t="s">
        <v>815</v>
      </c>
      <c r="L40" s="621"/>
      <c r="M40" s="621"/>
      <c r="N40" s="621"/>
    </row>
    <row r="41" spans="2:9" ht="16.5">
      <c r="B41" s="279"/>
      <c r="C41" s="305" t="s">
        <v>493</v>
      </c>
      <c r="G41" s="279"/>
      <c r="H41" s="279"/>
      <c r="I41" s="279"/>
    </row>
    <row r="42" spans="2:15" ht="16.5">
      <c r="B42" s="279"/>
      <c r="C42" s="289" t="s">
        <v>257</v>
      </c>
      <c r="D42" s="290" t="s">
        <v>456</v>
      </c>
      <c r="E42" s="291" t="s">
        <v>457</v>
      </c>
      <c r="F42" s="291" t="s">
        <v>458</v>
      </c>
      <c r="G42" s="292"/>
      <c r="H42" s="279"/>
      <c r="I42" s="279"/>
      <c r="J42" s="293" t="s">
        <v>459</v>
      </c>
      <c r="K42" s="293" t="s">
        <v>460</v>
      </c>
      <c r="L42" s="619" t="s">
        <v>735</v>
      </c>
      <c r="M42" s="619"/>
      <c r="N42" s="619"/>
      <c r="O42" s="619"/>
    </row>
    <row r="43" spans="2:15" ht="16.5">
      <c r="B43" s="300"/>
      <c r="C43" s="295"/>
      <c r="D43" s="296" t="s">
        <v>462</v>
      </c>
      <c r="E43" s="296" t="s">
        <v>463</v>
      </c>
      <c r="F43" s="297" t="s">
        <v>285</v>
      </c>
      <c r="G43" s="298"/>
      <c r="H43" s="279"/>
      <c r="I43" s="279"/>
      <c r="J43" s="299" t="s">
        <v>464</v>
      </c>
      <c r="K43" s="299" t="s">
        <v>465</v>
      </c>
      <c r="L43" s="294" t="s">
        <v>237</v>
      </c>
      <c r="M43" s="294" t="s">
        <v>238</v>
      </c>
      <c r="N43" s="299"/>
      <c r="O43" s="294"/>
    </row>
    <row r="44" spans="2:15" ht="16.5">
      <c r="B44" s="279"/>
      <c r="C44" s="295"/>
      <c r="D44" s="296" t="s">
        <v>466</v>
      </c>
      <c r="E44" s="301" t="s">
        <v>277</v>
      </c>
      <c r="F44" s="302" t="s">
        <v>467</v>
      </c>
      <c r="G44" s="298"/>
      <c r="H44" s="279"/>
      <c r="I44" s="279"/>
      <c r="J44" s="312">
        <v>0.375</v>
      </c>
      <c r="K44" s="294">
        <v>1</v>
      </c>
      <c r="L44" s="294" t="s">
        <v>502</v>
      </c>
      <c r="M44" s="294" t="s">
        <v>503</v>
      </c>
      <c r="N44" s="310"/>
      <c r="O44" s="304"/>
    </row>
    <row r="45" spans="2:15" ht="16.5">
      <c r="B45" s="279"/>
      <c r="C45" s="307"/>
      <c r="D45" s="308"/>
      <c r="E45" s="301"/>
      <c r="F45" s="302"/>
      <c r="G45" s="309"/>
      <c r="H45" s="279"/>
      <c r="I45" s="279"/>
      <c r="J45" s="312">
        <v>0.3888888888888889</v>
      </c>
      <c r="K45" s="294">
        <v>2</v>
      </c>
      <c r="L45" s="304" t="s">
        <v>504</v>
      </c>
      <c r="M45" s="294" t="s">
        <v>505</v>
      </c>
      <c r="N45" s="319"/>
      <c r="O45" s="304"/>
    </row>
    <row r="46" spans="2:15" ht="16.5">
      <c r="B46" s="279"/>
      <c r="H46" s="279"/>
      <c r="I46" s="279"/>
      <c r="J46" s="312">
        <v>0.402777777777778</v>
      </c>
      <c r="K46" s="294">
        <v>3</v>
      </c>
      <c r="L46" s="294" t="s">
        <v>506</v>
      </c>
      <c r="M46" s="294" t="s">
        <v>507</v>
      </c>
      <c r="O46" s="304"/>
    </row>
    <row r="47" spans="2:15" ht="16.5">
      <c r="B47" s="293" t="s">
        <v>459</v>
      </c>
      <c r="C47" s="293" t="s">
        <v>460</v>
      </c>
      <c r="D47" s="619" t="s">
        <v>735</v>
      </c>
      <c r="E47" s="619"/>
      <c r="F47" s="619"/>
      <c r="G47" s="619"/>
      <c r="H47" s="279"/>
      <c r="I47" s="279"/>
      <c r="J47" s="312">
        <v>0.416666666666667</v>
      </c>
      <c r="K47" s="294">
        <v>4</v>
      </c>
      <c r="L47" s="294" t="s">
        <v>508</v>
      </c>
      <c r="M47" s="294" t="s">
        <v>509</v>
      </c>
      <c r="N47" s="310"/>
      <c r="O47" s="304"/>
    </row>
    <row r="48" spans="2:15" ht="16.5">
      <c r="B48" s="299" t="s">
        <v>464</v>
      </c>
      <c r="C48" s="299" t="s">
        <v>465</v>
      </c>
      <c r="D48" s="293" t="s">
        <v>237</v>
      </c>
      <c r="E48" s="293" t="s">
        <v>238</v>
      </c>
      <c r="F48" s="299"/>
      <c r="G48" s="294"/>
      <c r="H48" s="279"/>
      <c r="I48" s="279"/>
      <c r="J48" s="312">
        <v>0.4305555555555556</v>
      </c>
      <c r="K48" s="294">
        <v>5</v>
      </c>
      <c r="L48" s="294" t="s">
        <v>510</v>
      </c>
      <c r="M48" s="294" t="s">
        <v>511</v>
      </c>
      <c r="N48" s="310"/>
      <c r="O48" s="304"/>
    </row>
    <row r="49" spans="2:15" ht="16.5">
      <c r="B49" s="320">
        <v>0.5833333333333334</v>
      </c>
      <c r="C49" s="449">
        <v>1</v>
      </c>
      <c r="D49" s="451" t="s">
        <v>512</v>
      </c>
      <c r="E49" s="452" t="s">
        <v>513</v>
      </c>
      <c r="F49" s="311"/>
      <c r="G49" s="312"/>
      <c r="H49" s="279"/>
      <c r="I49" s="279"/>
      <c r="J49" s="303"/>
      <c r="K49" s="313" t="s">
        <v>478</v>
      </c>
      <c r="L49" s="314"/>
      <c r="M49" s="314"/>
      <c r="N49" s="314"/>
      <c r="O49" s="315"/>
    </row>
    <row r="50" spans="2:15" ht="16.5">
      <c r="B50" s="320">
        <v>0.5972222222222222</v>
      </c>
      <c r="C50" s="449">
        <v>2</v>
      </c>
      <c r="D50" s="323" t="s">
        <v>518</v>
      </c>
      <c r="E50" s="323" t="s">
        <v>519</v>
      </c>
      <c r="F50" s="450"/>
      <c r="G50" s="312"/>
      <c r="H50" s="279"/>
      <c r="I50" s="279"/>
      <c r="J50" s="303">
        <v>0.5833333333333334</v>
      </c>
      <c r="K50" s="294">
        <v>6</v>
      </c>
      <c r="L50" s="304" t="s">
        <v>536</v>
      </c>
      <c r="M50" s="304" t="s">
        <v>517</v>
      </c>
      <c r="N50" s="304"/>
      <c r="O50" s="304"/>
    </row>
    <row r="51" spans="2:15" ht="16.5">
      <c r="B51" s="320">
        <v>0.611111111111111</v>
      </c>
      <c r="C51" s="321">
        <v>3</v>
      </c>
      <c r="D51" s="293" t="s">
        <v>528</v>
      </c>
      <c r="E51" s="293" t="s">
        <v>529</v>
      </c>
      <c r="F51" s="294"/>
      <c r="G51" s="312"/>
      <c r="J51" s="303">
        <v>0.5972222222222222</v>
      </c>
      <c r="K51" s="294">
        <v>7</v>
      </c>
      <c r="L51" s="321" t="s">
        <v>538</v>
      </c>
      <c r="M51" s="304" t="s">
        <v>521</v>
      </c>
      <c r="N51" s="306"/>
      <c r="O51" s="304"/>
    </row>
    <row r="52" spans="2:15" ht="16.5">
      <c r="B52" s="303"/>
      <c r="C52" s="313"/>
      <c r="D52" s="440"/>
      <c r="E52" s="440"/>
      <c r="F52" s="450"/>
      <c r="G52" s="312"/>
      <c r="J52" s="303">
        <v>0.611111111111111</v>
      </c>
      <c r="K52" s="294">
        <v>8</v>
      </c>
      <c r="L52" s="311" t="s">
        <v>542</v>
      </c>
      <c r="M52" s="304" t="s">
        <v>525</v>
      </c>
      <c r="N52" s="304"/>
      <c r="O52" s="304"/>
    </row>
    <row r="53" spans="2:15" ht="16.5">
      <c r="B53" s="312"/>
      <c r="C53" s="294"/>
      <c r="D53" s="453"/>
      <c r="E53" s="453"/>
      <c r="F53" s="294"/>
      <c r="G53" s="294"/>
      <c r="J53" s="312"/>
      <c r="K53" s="294"/>
      <c r="L53" s="304"/>
      <c r="M53" s="304"/>
      <c r="N53" s="304"/>
      <c r="O53" s="304"/>
    </row>
    <row r="54" spans="2:10" ht="16.5">
      <c r="B54" s="312"/>
      <c r="C54" s="294"/>
      <c r="D54" s="304"/>
      <c r="E54" s="304"/>
      <c r="F54" s="304"/>
      <c r="G54" s="294"/>
      <c r="J54" s="279"/>
    </row>
    <row r="55" spans="12:13" ht="16.5">
      <c r="L55" s="278"/>
      <c r="M55" s="278"/>
    </row>
    <row r="56" spans="2:13" ht="16.5">
      <c r="B56" s="279"/>
      <c r="C56" s="316"/>
      <c r="L56" s="278"/>
      <c r="M56" s="278"/>
    </row>
    <row r="57" spans="3:15" ht="16.5">
      <c r="C57" s="278"/>
      <c r="D57" s="620" t="s">
        <v>816</v>
      </c>
      <c r="E57" s="620"/>
      <c r="F57" s="620"/>
      <c r="K57" s="621" t="s">
        <v>817</v>
      </c>
      <c r="L57" s="621"/>
      <c r="M57" s="621"/>
      <c r="N57" s="621"/>
      <c r="O57" s="279"/>
    </row>
    <row r="58" spans="2:7" ht="16.5">
      <c r="B58" s="279"/>
      <c r="C58" s="305" t="s">
        <v>493</v>
      </c>
      <c r="G58" s="279"/>
    </row>
    <row r="59" spans="2:15" ht="16.5">
      <c r="B59" s="279"/>
      <c r="C59" s="289" t="s">
        <v>257</v>
      </c>
      <c r="D59" s="290" t="s">
        <v>456</v>
      </c>
      <c r="E59" s="291" t="s">
        <v>457</v>
      </c>
      <c r="F59" s="291" t="s">
        <v>458</v>
      </c>
      <c r="G59" s="292"/>
      <c r="H59" s="279"/>
      <c r="I59" s="279"/>
      <c r="J59" s="293" t="s">
        <v>459</v>
      </c>
      <c r="K59" s="293" t="s">
        <v>460</v>
      </c>
      <c r="L59" s="619" t="s">
        <v>735</v>
      </c>
      <c r="M59" s="619"/>
      <c r="N59" s="619"/>
      <c r="O59" s="619"/>
    </row>
    <row r="60" spans="2:15" ht="16.5">
      <c r="B60" s="300"/>
      <c r="C60" s="295"/>
      <c r="D60" s="296" t="s">
        <v>462</v>
      </c>
      <c r="E60" s="296" t="s">
        <v>463</v>
      </c>
      <c r="F60" s="297" t="s">
        <v>285</v>
      </c>
      <c r="G60" s="298"/>
      <c r="H60" s="279"/>
      <c r="I60" s="279"/>
      <c r="J60" s="299" t="s">
        <v>464</v>
      </c>
      <c r="K60" s="299" t="s">
        <v>465</v>
      </c>
      <c r="L60" s="294" t="s">
        <v>237</v>
      </c>
      <c r="M60" s="294" t="s">
        <v>238</v>
      </c>
      <c r="N60" s="299"/>
      <c r="O60" s="294"/>
    </row>
    <row r="61" spans="2:15" ht="16.5" customHeight="1">
      <c r="B61" s="279"/>
      <c r="C61" s="295"/>
      <c r="D61" s="296" t="s">
        <v>466</v>
      </c>
      <c r="E61" s="301" t="s">
        <v>277</v>
      </c>
      <c r="F61" s="302" t="s">
        <v>467</v>
      </c>
      <c r="G61" s="298"/>
      <c r="H61" s="279"/>
      <c r="I61" s="279"/>
      <c r="J61" s="312">
        <v>0.375</v>
      </c>
      <c r="K61" s="294">
        <v>1</v>
      </c>
      <c r="L61" s="304" t="s">
        <v>526</v>
      </c>
      <c r="M61" s="294" t="s">
        <v>527</v>
      </c>
      <c r="N61" s="304"/>
      <c r="O61" s="304"/>
    </row>
    <row r="62" spans="2:15" ht="17.25" customHeight="1">
      <c r="B62" s="279"/>
      <c r="C62" s="307"/>
      <c r="D62" s="308"/>
      <c r="E62" s="301"/>
      <c r="F62" s="302"/>
      <c r="G62" s="309"/>
      <c r="H62" s="279"/>
      <c r="I62" s="279"/>
      <c r="J62" s="312">
        <v>0.3888888888888889</v>
      </c>
      <c r="K62" s="294">
        <v>2</v>
      </c>
      <c r="L62" s="321" t="s">
        <v>532</v>
      </c>
      <c r="M62" s="294" t="s">
        <v>533</v>
      </c>
      <c r="N62" s="306"/>
      <c r="O62" s="304"/>
    </row>
    <row r="63" spans="2:15" ht="16.5" customHeight="1">
      <c r="B63" s="279"/>
      <c r="H63" s="279"/>
      <c r="I63" s="279"/>
      <c r="J63" s="312">
        <v>0.402777777777778</v>
      </c>
      <c r="K63" s="294">
        <v>3</v>
      </c>
      <c r="L63" s="457" t="s">
        <v>514</v>
      </c>
      <c r="M63" s="457" t="s">
        <v>515</v>
      </c>
      <c r="O63" s="304"/>
    </row>
    <row r="64" spans="2:15" ht="15.75" customHeight="1">
      <c r="B64" s="293" t="s">
        <v>459</v>
      </c>
      <c r="C64" s="293" t="s">
        <v>460</v>
      </c>
      <c r="D64" s="619" t="s">
        <v>735</v>
      </c>
      <c r="E64" s="619"/>
      <c r="F64" s="619"/>
      <c r="G64" s="619"/>
      <c r="H64" s="279"/>
      <c r="I64" s="279"/>
      <c r="J64" s="312">
        <v>0.416666666666667</v>
      </c>
      <c r="K64" s="294">
        <v>4</v>
      </c>
      <c r="L64" s="294" t="s">
        <v>530</v>
      </c>
      <c r="M64" s="294" t="s">
        <v>531</v>
      </c>
      <c r="N64" s="304"/>
      <c r="O64" s="304"/>
    </row>
    <row r="65" spans="2:15" ht="15.75" customHeight="1">
      <c r="B65" s="299" t="s">
        <v>464</v>
      </c>
      <c r="C65" s="456" t="s">
        <v>465</v>
      </c>
      <c r="D65" s="293" t="s">
        <v>237</v>
      </c>
      <c r="E65" s="293" t="s">
        <v>238</v>
      </c>
      <c r="F65" s="456"/>
      <c r="G65" s="294"/>
      <c r="J65" s="312">
        <v>0.4305555555555556</v>
      </c>
      <c r="K65" s="294">
        <v>5</v>
      </c>
      <c r="L65" s="304" t="s">
        <v>540</v>
      </c>
      <c r="M65" s="294" t="s">
        <v>541</v>
      </c>
      <c r="N65" s="304"/>
      <c r="O65" s="304"/>
    </row>
    <row r="66" spans="2:15" ht="15.75" customHeight="1">
      <c r="B66" s="454">
        <v>0.5833333333333334</v>
      </c>
      <c r="C66" s="452">
        <v>1</v>
      </c>
      <c r="D66" s="457" t="s">
        <v>516</v>
      </c>
      <c r="E66" s="457" t="s">
        <v>537</v>
      </c>
      <c r="F66" s="452"/>
      <c r="G66" s="319"/>
      <c r="J66" s="303"/>
      <c r="K66" s="313" t="s">
        <v>478</v>
      </c>
      <c r="L66" s="314"/>
      <c r="M66" s="314"/>
      <c r="N66" s="314"/>
      <c r="O66" s="315"/>
    </row>
    <row r="67" spans="2:15" ht="15.75" customHeight="1">
      <c r="B67" s="454">
        <v>0.5972222222222222</v>
      </c>
      <c r="C67" s="452">
        <v>2</v>
      </c>
      <c r="D67" s="457" t="s">
        <v>520</v>
      </c>
      <c r="E67" s="457" t="s">
        <v>539</v>
      </c>
      <c r="F67" s="452"/>
      <c r="G67" s="319"/>
      <c r="J67" s="303">
        <v>0.5833333333333334</v>
      </c>
      <c r="K67" s="294">
        <v>6</v>
      </c>
      <c r="L67" s="294" t="s">
        <v>522</v>
      </c>
      <c r="M67" s="294" t="s">
        <v>523</v>
      </c>
      <c r="N67" s="304"/>
      <c r="O67" s="304"/>
    </row>
    <row r="68" spans="2:15" ht="15.75" customHeight="1">
      <c r="B68" s="454">
        <v>0.611111111111111</v>
      </c>
      <c r="C68" s="452">
        <v>3</v>
      </c>
      <c r="D68" s="457" t="s">
        <v>524</v>
      </c>
      <c r="E68" s="457" t="s">
        <v>543</v>
      </c>
      <c r="F68" s="452"/>
      <c r="G68" s="311"/>
      <c r="J68" s="303">
        <v>0.5972222222222222</v>
      </c>
      <c r="K68" s="294">
        <v>7</v>
      </c>
      <c r="L68" s="321" t="s">
        <v>534</v>
      </c>
      <c r="M68" s="305" t="s">
        <v>535</v>
      </c>
      <c r="N68" s="306"/>
      <c r="O68" s="304"/>
    </row>
    <row r="69" spans="2:15" ht="15.75" customHeight="1">
      <c r="B69" s="455">
        <v>0.625</v>
      </c>
      <c r="C69" s="451">
        <v>4</v>
      </c>
      <c r="D69" s="293" t="s">
        <v>553</v>
      </c>
      <c r="E69" s="440"/>
      <c r="F69" s="457"/>
      <c r="G69" s="310"/>
      <c r="H69" s="279"/>
      <c r="I69" s="279"/>
      <c r="J69" s="303">
        <v>0.611111111111111</v>
      </c>
      <c r="K69" s="294">
        <v>8</v>
      </c>
      <c r="L69" s="304" t="s">
        <v>546</v>
      </c>
      <c r="M69" s="304" t="s">
        <v>547</v>
      </c>
      <c r="N69" s="304"/>
      <c r="O69" s="304"/>
    </row>
    <row r="70" spans="2:15" ht="15.75" customHeight="1">
      <c r="B70" s="455"/>
      <c r="C70" s="452"/>
      <c r="D70" s="452"/>
      <c r="E70" s="452"/>
      <c r="F70" s="452"/>
      <c r="G70" s="450"/>
      <c r="H70" s="279"/>
      <c r="I70" s="279"/>
      <c r="J70" s="312">
        <v>0.625</v>
      </c>
      <c r="K70" s="294">
        <v>9</v>
      </c>
      <c r="L70" s="304" t="s">
        <v>544</v>
      </c>
      <c r="M70" s="294" t="s">
        <v>545</v>
      </c>
      <c r="N70" s="304"/>
      <c r="O70" s="304"/>
    </row>
    <row r="71" spans="2:15" ht="16.5">
      <c r="B71" s="455"/>
      <c r="C71" s="452"/>
      <c r="D71" s="452"/>
      <c r="E71" s="452"/>
      <c r="F71" s="452"/>
      <c r="G71" s="319"/>
      <c r="J71" s="300"/>
      <c r="K71" s="279"/>
      <c r="N71" s="279"/>
      <c r="O71" s="279"/>
    </row>
    <row r="72" spans="2:13" ht="16.5" customHeight="1">
      <c r="B72" s="279"/>
      <c r="C72" s="316"/>
      <c r="L72" s="278"/>
      <c r="M72" s="278"/>
    </row>
    <row r="73" spans="2:13" ht="16.5">
      <c r="B73" s="279"/>
      <c r="C73" s="316"/>
      <c r="L73" s="278"/>
      <c r="M73" s="278"/>
    </row>
    <row r="74" spans="2:15" ht="17.25" customHeight="1">
      <c r="B74" s="279"/>
      <c r="C74" s="278"/>
      <c r="D74" s="620" t="s">
        <v>818</v>
      </c>
      <c r="E74" s="620"/>
      <c r="F74" s="620"/>
      <c r="K74" s="621" t="s">
        <v>819</v>
      </c>
      <c r="L74" s="621"/>
      <c r="M74" s="621"/>
      <c r="N74" s="621"/>
      <c r="O74" s="279"/>
    </row>
    <row r="75" spans="2:7" ht="16.5">
      <c r="B75" s="279"/>
      <c r="C75" s="305" t="s">
        <v>493</v>
      </c>
      <c r="G75" s="279"/>
    </row>
    <row r="76" spans="2:15" ht="16.5">
      <c r="B76" s="279"/>
      <c r="C76" s="289" t="s">
        <v>210</v>
      </c>
      <c r="D76" s="290" t="s">
        <v>456</v>
      </c>
      <c r="E76" s="291" t="s">
        <v>457</v>
      </c>
      <c r="F76" s="291" t="s">
        <v>458</v>
      </c>
      <c r="G76" s="292"/>
      <c r="J76" s="293" t="s">
        <v>459</v>
      </c>
      <c r="K76" s="293" t="s">
        <v>460</v>
      </c>
      <c r="L76" s="619" t="s">
        <v>735</v>
      </c>
      <c r="M76" s="619"/>
      <c r="N76" s="619"/>
      <c r="O76" s="619"/>
    </row>
    <row r="77" spans="2:15" ht="16.5">
      <c r="B77" s="300"/>
      <c r="C77" s="295"/>
      <c r="D77" s="296" t="s">
        <v>466</v>
      </c>
      <c r="E77" s="301" t="s">
        <v>277</v>
      </c>
      <c r="F77" s="302" t="s">
        <v>467</v>
      </c>
      <c r="G77" s="298"/>
      <c r="J77" s="299" t="s">
        <v>464</v>
      </c>
      <c r="K77" s="299" t="s">
        <v>465</v>
      </c>
      <c r="L77" s="294" t="s">
        <v>237</v>
      </c>
      <c r="M77" s="294" t="s">
        <v>238</v>
      </c>
      <c r="N77" s="299"/>
      <c r="O77" s="294"/>
    </row>
    <row r="78" spans="2:15" ht="16.5">
      <c r="B78" s="279"/>
      <c r="C78" s="295"/>
      <c r="G78" s="298"/>
      <c r="H78" s="279"/>
      <c r="I78" s="279"/>
      <c r="J78" s="622"/>
      <c r="K78" s="622"/>
      <c r="L78" s="622"/>
      <c r="M78" s="622"/>
      <c r="N78" s="622"/>
      <c r="O78" s="622"/>
    </row>
    <row r="79" spans="2:15" ht="16.5">
      <c r="B79" s="279"/>
      <c r="C79" s="307"/>
      <c r="D79" s="308"/>
      <c r="E79" s="301"/>
      <c r="F79" s="302"/>
      <c r="G79" s="309"/>
      <c r="H79" s="279"/>
      <c r="I79" s="279"/>
      <c r="J79" s="622"/>
      <c r="K79" s="622"/>
      <c r="L79" s="622"/>
      <c r="M79" s="622"/>
      <c r="N79" s="622"/>
      <c r="O79" s="622"/>
    </row>
    <row r="80" spans="2:15" ht="16.5" customHeight="1">
      <c r="B80" s="279"/>
      <c r="H80" s="279"/>
      <c r="I80" s="279"/>
      <c r="J80" s="622"/>
      <c r="K80" s="622"/>
      <c r="L80" s="622"/>
      <c r="M80" s="622"/>
      <c r="N80" s="622"/>
      <c r="O80" s="622"/>
    </row>
    <row r="81" spans="2:15" ht="16.5">
      <c r="B81" s="441" t="s">
        <v>459</v>
      </c>
      <c r="C81" s="441" t="s">
        <v>460</v>
      </c>
      <c r="D81" s="623" t="s">
        <v>461</v>
      </c>
      <c r="E81" s="623"/>
      <c r="F81" s="623"/>
      <c r="G81" s="623"/>
      <c r="H81" s="279"/>
      <c r="I81" s="279"/>
      <c r="J81" s="622"/>
      <c r="K81" s="622"/>
      <c r="L81" s="622"/>
      <c r="M81" s="622"/>
      <c r="N81" s="622"/>
      <c r="O81" s="622"/>
    </row>
    <row r="82" spans="2:15" ht="16.5">
      <c r="B82" s="442" t="s">
        <v>464</v>
      </c>
      <c r="C82" s="442" t="s">
        <v>465</v>
      </c>
      <c r="D82" s="443" t="s">
        <v>237</v>
      </c>
      <c r="E82" s="443" t="s">
        <v>238</v>
      </c>
      <c r="F82" s="442"/>
      <c r="G82" s="443"/>
      <c r="H82" s="279"/>
      <c r="I82" s="279"/>
      <c r="J82" s="622"/>
      <c r="K82" s="622"/>
      <c r="L82" s="622"/>
      <c r="M82" s="622"/>
      <c r="N82" s="622"/>
      <c r="O82" s="622"/>
    </row>
    <row r="83" spans="2:15" ht="16.5">
      <c r="B83" s="444">
        <v>0.5833333333333334</v>
      </c>
      <c r="C83" s="443">
        <v>1</v>
      </c>
      <c r="D83" s="445"/>
      <c r="E83" s="443"/>
      <c r="F83" s="445"/>
      <c r="G83" s="446"/>
      <c r="H83" s="279"/>
      <c r="J83" s="622"/>
      <c r="K83" s="622"/>
      <c r="L83" s="622"/>
      <c r="M83" s="622"/>
      <c r="N83" s="622"/>
      <c r="O83" s="622"/>
    </row>
    <row r="84" spans="2:15" ht="16.5">
      <c r="B84" s="444">
        <v>0.5972222222222222</v>
      </c>
      <c r="C84" s="443">
        <v>2</v>
      </c>
      <c r="D84" s="445"/>
      <c r="E84" s="443"/>
      <c r="F84" s="445"/>
      <c r="G84" s="446"/>
      <c r="I84" s="279"/>
      <c r="J84" s="622"/>
      <c r="K84" s="622"/>
      <c r="L84" s="622"/>
      <c r="M84" s="622"/>
      <c r="N84" s="622"/>
      <c r="O84" s="622"/>
    </row>
    <row r="85" spans="2:15" ht="16.5">
      <c r="B85" s="444">
        <v>0.611111111111111</v>
      </c>
      <c r="C85" s="443">
        <v>3</v>
      </c>
      <c r="D85" s="445"/>
      <c r="E85" s="443"/>
      <c r="F85" s="445"/>
      <c r="G85" s="446"/>
      <c r="I85" s="279"/>
      <c r="J85" s="622"/>
      <c r="K85" s="622"/>
      <c r="L85" s="622"/>
      <c r="M85" s="622"/>
      <c r="N85" s="622"/>
      <c r="O85" s="622"/>
    </row>
    <row r="86" spans="2:15" ht="16.5">
      <c r="B86" s="444">
        <v>0.625</v>
      </c>
      <c r="C86" s="443">
        <v>4</v>
      </c>
      <c r="D86" s="445"/>
      <c r="E86" s="445"/>
      <c r="F86" s="445"/>
      <c r="G86" s="446"/>
      <c r="I86" s="279"/>
      <c r="J86" s="622"/>
      <c r="K86" s="622"/>
      <c r="L86" s="622"/>
      <c r="M86" s="622"/>
      <c r="N86" s="622"/>
      <c r="O86" s="622"/>
    </row>
    <row r="87" spans="2:15" ht="16.5">
      <c r="B87" s="447"/>
      <c r="C87" s="443"/>
      <c r="D87" s="443"/>
      <c r="E87" s="445"/>
      <c r="F87" s="445"/>
      <c r="G87" s="443"/>
      <c r="H87" s="279"/>
      <c r="I87" s="279"/>
      <c r="J87" s="622"/>
      <c r="K87" s="622"/>
      <c r="L87" s="622"/>
      <c r="M87" s="622"/>
      <c r="N87" s="622"/>
      <c r="O87" s="622"/>
    </row>
    <row r="88" spans="2:13" ht="16.5">
      <c r="B88" s="447"/>
      <c r="C88" s="443"/>
      <c r="D88" s="443"/>
      <c r="E88" s="443"/>
      <c r="F88" s="443"/>
      <c r="G88" s="448"/>
      <c r="L88" s="278"/>
      <c r="M88" s="278"/>
    </row>
    <row r="89" spans="3:13" ht="16.5">
      <c r="C89" s="316"/>
      <c r="G89" s="279"/>
      <c r="L89" s="278"/>
      <c r="M89" s="278"/>
    </row>
    <row r="90" spans="2:13" ht="16.5">
      <c r="B90" s="279"/>
      <c r="C90" s="316"/>
      <c r="I90" s="279"/>
      <c r="L90" s="278"/>
      <c r="M90" s="278"/>
    </row>
    <row r="91" spans="2:15" ht="17.25" customHeight="1">
      <c r="B91" s="279"/>
      <c r="C91" s="278"/>
      <c r="D91" s="620" t="s">
        <v>820</v>
      </c>
      <c r="E91" s="620"/>
      <c r="F91" s="620"/>
      <c r="K91" s="621" t="s">
        <v>821</v>
      </c>
      <c r="L91" s="621"/>
      <c r="M91" s="621"/>
      <c r="N91" s="621"/>
      <c r="O91" s="279"/>
    </row>
    <row r="92" spans="2:9" ht="16.5">
      <c r="B92" s="279"/>
      <c r="C92" s="305" t="s">
        <v>493</v>
      </c>
      <c r="G92" s="279"/>
      <c r="H92" s="279"/>
      <c r="I92" s="279"/>
    </row>
    <row r="93" spans="2:15" ht="16.5">
      <c r="B93" s="279"/>
      <c r="C93" s="289" t="s">
        <v>210</v>
      </c>
      <c r="D93" s="290" t="s">
        <v>456</v>
      </c>
      <c r="E93" s="291" t="s">
        <v>457</v>
      </c>
      <c r="F93" s="291" t="s">
        <v>458</v>
      </c>
      <c r="G93" s="292"/>
      <c r="H93" s="279"/>
      <c r="I93" s="279"/>
      <c r="J93" s="293" t="s">
        <v>459</v>
      </c>
      <c r="K93" s="293" t="s">
        <v>460</v>
      </c>
      <c r="L93" s="619" t="s">
        <v>735</v>
      </c>
      <c r="M93" s="619"/>
      <c r="N93" s="619"/>
      <c r="O93" s="619"/>
    </row>
    <row r="94" spans="2:15" ht="16.5">
      <c r="B94" s="300"/>
      <c r="C94" s="295"/>
      <c r="D94" s="296" t="s">
        <v>466</v>
      </c>
      <c r="E94" s="301" t="s">
        <v>277</v>
      </c>
      <c r="F94" s="302" t="s">
        <v>467</v>
      </c>
      <c r="G94" s="298"/>
      <c r="H94" s="279"/>
      <c r="J94" s="299" t="s">
        <v>464</v>
      </c>
      <c r="K94" s="299" t="s">
        <v>465</v>
      </c>
      <c r="L94" s="294" t="s">
        <v>237</v>
      </c>
      <c r="M94" s="294" t="s">
        <v>238</v>
      </c>
      <c r="N94" s="299"/>
      <c r="O94" s="294"/>
    </row>
    <row r="95" spans="2:15" ht="16.5">
      <c r="B95" s="279"/>
      <c r="C95" s="295"/>
      <c r="G95" s="298"/>
      <c r="H95" s="279"/>
      <c r="J95" s="303">
        <v>0.375</v>
      </c>
      <c r="K95" s="294">
        <v>1</v>
      </c>
      <c r="L95" s="294" t="s">
        <v>339</v>
      </c>
      <c r="M95" s="294"/>
      <c r="N95" s="306"/>
      <c r="O95" s="304"/>
    </row>
    <row r="96" spans="2:15" ht="16.5">
      <c r="B96" s="279"/>
      <c r="C96" s="307"/>
      <c r="D96" s="308"/>
      <c r="E96" s="301"/>
      <c r="F96" s="302"/>
      <c r="G96" s="309"/>
      <c r="H96" s="279"/>
      <c r="J96" s="303">
        <v>0.3888888888888889</v>
      </c>
      <c r="K96" s="294">
        <v>2</v>
      </c>
      <c r="L96" s="304" t="s">
        <v>341</v>
      </c>
      <c r="M96" s="294"/>
      <c r="N96" s="306"/>
      <c r="O96" s="304"/>
    </row>
    <row r="97" spans="2:15" ht="16.5" customHeight="1">
      <c r="B97" s="279"/>
      <c r="H97" s="279"/>
      <c r="I97" s="279"/>
      <c r="J97" s="303">
        <v>0.402777777777778</v>
      </c>
      <c r="K97" s="294">
        <v>3</v>
      </c>
      <c r="L97" s="294" t="s">
        <v>343</v>
      </c>
      <c r="M97" s="294"/>
      <c r="N97" s="306"/>
      <c r="O97" s="306"/>
    </row>
    <row r="98" spans="2:15" ht="16.5">
      <c r="B98" s="293" t="s">
        <v>459</v>
      </c>
      <c r="C98" s="293" t="s">
        <v>460</v>
      </c>
      <c r="D98" s="619" t="s">
        <v>735</v>
      </c>
      <c r="E98" s="619"/>
      <c r="F98" s="619"/>
      <c r="G98" s="619"/>
      <c r="H98" s="279"/>
      <c r="I98" s="279"/>
      <c r="J98" s="303">
        <v>0.416666666666667</v>
      </c>
      <c r="K98" s="294">
        <v>4</v>
      </c>
      <c r="L98" s="304" t="s">
        <v>345</v>
      </c>
      <c r="M98" s="294"/>
      <c r="N98" s="306"/>
      <c r="O98" s="306"/>
    </row>
    <row r="99" spans="2:15" ht="16.5">
      <c r="B99" s="299" t="s">
        <v>464</v>
      </c>
      <c r="C99" s="299" t="s">
        <v>465</v>
      </c>
      <c r="D99" s="294" t="s">
        <v>237</v>
      </c>
      <c r="E99" s="294" t="s">
        <v>238</v>
      </c>
      <c r="F99" s="299"/>
      <c r="G99" s="294"/>
      <c r="H99" s="279"/>
      <c r="I99" s="279"/>
      <c r="J99" s="312"/>
      <c r="K99" s="294"/>
      <c r="L99" s="294"/>
      <c r="M99" s="294"/>
      <c r="N99" s="304"/>
      <c r="O99" s="304"/>
    </row>
    <row r="100" spans="2:15" ht="16.5">
      <c r="B100" s="303">
        <v>0.5833333333333334</v>
      </c>
      <c r="C100" s="294">
        <v>1</v>
      </c>
      <c r="D100" s="304" t="s">
        <v>443</v>
      </c>
      <c r="E100" s="294"/>
      <c r="F100" s="304"/>
      <c r="G100" s="310"/>
      <c r="H100" s="279"/>
      <c r="I100" s="279"/>
      <c r="J100" s="313"/>
      <c r="L100" s="322" t="s">
        <v>478</v>
      </c>
      <c r="M100" s="314"/>
      <c r="N100" s="314"/>
      <c r="O100" s="315"/>
    </row>
    <row r="101" spans="2:15" ht="16.5">
      <c r="B101" s="303">
        <v>0.5972222222222222</v>
      </c>
      <c r="C101" s="294">
        <v>2</v>
      </c>
      <c r="D101" s="304" t="s">
        <v>445</v>
      </c>
      <c r="E101" s="294"/>
      <c r="F101" s="304"/>
      <c r="G101" s="310"/>
      <c r="H101" s="279"/>
      <c r="I101" s="279"/>
      <c r="J101" s="303">
        <v>0.5625</v>
      </c>
      <c r="K101" s="294">
        <v>5</v>
      </c>
      <c r="L101" s="294" t="s">
        <v>348</v>
      </c>
      <c r="M101" s="294"/>
      <c r="N101" s="304"/>
      <c r="O101" s="304"/>
    </row>
    <row r="102" spans="2:15" ht="16.5">
      <c r="B102" s="303">
        <v>0.611111111111111</v>
      </c>
      <c r="C102" s="294">
        <v>3</v>
      </c>
      <c r="D102" s="304" t="s">
        <v>447</v>
      </c>
      <c r="E102" s="294"/>
      <c r="F102" s="304"/>
      <c r="G102" s="310"/>
      <c r="H102" s="279"/>
      <c r="I102" s="279"/>
      <c r="J102" s="303">
        <v>0.576388888888889</v>
      </c>
      <c r="K102" s="294">
        <v>6</v>
      </c>
      <c r="L102" s="304" t="s">
        <v>350</v>
      </c>
      <c r="M102" s="294"/>
      <c r="N102" s="306"/>
      <c r="O102" s="304"/>
    </row>
    <row r="103" spans="2:15" ht="16.5">
      <c r="B103" s="303">
        <v>0.625</v>
      </c>
      <c r="C103" s="294">
        <v>4</v>
      </c>
      <c r="D103" s="304" t="s">
        <v>449</v>
      </c>
      <c r="E103" s="294"/>
      <c r="F103" s="304"/>
      <c r="G103" s="310"/>
      <c r="H103" s="279"/>
      <c r="I103" s="279"/>
      <c r="J103" s="303">
        <v>0.5902777777777778</v>
      </c>
      <c r="K103" s="294">
        <v>7</v>
      </c>
      <c r="L103" s="294" t="s">
        <v>353</v>
      </c>
      <c r="M103" s="294"/>
      <c r="N103" s="306"/>
      <c r="O103" s="306"/>
    </row>
    <row r="104" spans="2:15" ht="16.5">
      <c r="B104" s="312"/>
      <c r="C104" s="294"/>
      <c r="D104" s="294"/>
      <c r="E104" s="294"/>
      <c r="F104" s="304"/>
      <c r="G104" s="294"/>
      <c r="H104" s="279"/>
      <c r="I104" s="279"/>
      <c r="J104" s="312">
        <v>0.6041666666666666</v>
      </c>
      <c r="K104" s="294">
        <v>8</v>
      </c>
      <c r="L104" s="304" t="s">
        <v>364</v>
      </c>
      <c r="M104" s="294"/>
      <c r="N104" s="306"/>
      <c r="O104" s="304"/>
    </row>
    <row r="105" spans="2:13" ht="16.5">
      <c r="B105" s="312"/>
      <c r="C105" s="294"/>
      <c r="D105" s="294"/>
      <c r="E105" s="315"/>
      <c r="F105" s="294"/>
      <c r="G105" s="306"/>
      <c r="L105" s="278"/>
      <c r="M105" s="278"/>
    </row>
    <row r="106" spans="3:13" ht="16.5">
      <c r="C106" s="316"/>
      <c r="G106" s="279"/>
      <c r="L106" s="278"/>
      <c r="M106" s="278"/>
    </row>
    <row r="107" spans="2:13" ht="16.5">
      <c r="B107" s="279"/>
      <c r="C107" s="316"/>
      <c r="L107" s="278"/>
      <c r="M107" s="278"/>
    </row>
    <row r="108" spans="2:15" ht="17.25" customHeight="1">
      <c r="B108" s="279"/>
      <c r="C108" s="278"/>
      <c r="D108" s="620" t="s">
        <v>822</v>
      </c>
      <c r="E108" s="620"/>
      <c r="F108" s="620"/>
      <c r="K108" s="621" t="s">
        <v>823</v>
      </c>
      <c r="L108" s="621"/>
      <c r="M108" s="621"/>
      <c r="N108" s="621"/>
      <c r="O108" s="279"/>
    </row>
    <row r="109" spans="2:9" ht="16.5">
      <c r="B109" s="279"/>
      <c r="C109" s="305" t="s">
        <v>493</v>
      </c>
      <c r="G109" s="279"/>
      <c r="H109" s="279"/>
      <c r="I109" s="279"/>
    </row>
    <row r="110" spans="2:15" ht="16.5">
      <c r="B110" s="279"/>
      <c r="C110" s="289" t="s">
        <v>210</v>
      </c>
      <c r="D110" s="290" t="s">
        <v>456</v>
      </c>
      <c r="E110" s="291" t="s">
        <v>457</v>
      </c>
      <c r="F110" s="291" t="s">
        <v>458</v>
      </c>
      <c r="G110" s="292"/>
      <c r="H110" s="279"/>
      <c r="I110" s="279"/>
      <c r="J110" s="293" t="s">
        <v>734</v>
      </c>
      <c r="K110" s="293" t="s">
        <v>460</v>
      </c>
      <c r="L110" s="619" t="s">
        <v>735</v>
      </c>
      <c r="M110" s="619"/>
      <c r="N110" s="619"/>
      <c r="O110" s="619"/>
    </row>
    <row r="111" spans="2:15" ht="16.5">
      <c r="B111" s="300"/>
      <c r="C111" s="295"/>
      <c r="D111" s="296" t="s">
        <v>466</v>
      </c>
      <c r="E111" s="301" t="s">
        <v>277</v>
      </c>
      <c r="F111" s="302" t="s">
        <v>467</v>
      </c>
      <c r="G111" s="298"/>
      <c r="H111" s="279"/>
      <c r="I111" s="279"/>
      <c r="J111" s="299" t="s">
        <v>464</v>
      </c>
      <c r="K111" s="299" t="s">
        <v>465</v>
      </c>
      <c r="L111" s="294" t="s">
        <v>237</v>
      </c>
      <c r="M111" s="294" t="s">
        <v>238</v>
      </c>
      <c r="N111" s="299"/>
      <c r="O111" s="294"/>
    </row>
    <row r="112" spans="2:15" ht="16.5">
      <c r="B112" s="279"/>
      <c r="C112" s="295"/>
      <c r="G112" s="298"/>
      <c r="H112" s="279"/>
      <c r="I112" s="279"/>
      <c r="J112" s="303">
        <v>0.375</v>
      </c>
      <c r="K112" s="294">
        <v>1</v>
      </c>
      <c r="L112" s="294" t="s">
        <v>340</v>
      </c>
      <c r="M112" s="304"/>
      <c r="N112" s="306"/>
      <c r="O112" s="304"/>
    </row>
    <row r="113" spans="2:15" ht="16.5">
      <c r="B113" s="279"/>
      <c r="C113" s="307"/>
      <c r="D113" s="308"/>
      <c r="E113" s="301"/>
      <c r="F113" s="302"/>
      <c r="G113" s="309"/>
      <c r="H113" s="279"/>
      <c r="I113" s="279"/>
      <c r="J113" s="303">
        <v>0.3888888888888889</v>
      </c>
      <c r="K113" s="294">
        <v>2</v>
      </c>
      <c r="L113" s="294" t="s">
        <v>344</v>
      </c>
      <c r="M113" s="304"/>
      <c r="N113" s="306"/>
      <c r="O113" s="304"/>
    </row>
    <row r="114" spans="2:15" ht="16.5" customHeight="1">
      <c r="B114" s="279"/>
      <c r="H114" s="279"/>
      <c r="I114" s="279"/>
      <c r="J114" s="303">
        <v>0.402777777777778</v>
      </c>
      <c r="K114" s="294">
        <v>3</v>
      </c>
      <c r="L114" s="294" t="s">
        <v>349</v>
      </c>
      <c r="M114" s="304"/>
      <c r="N114" s="306"/>
      <c r="O114" s="306"/>
    </row>
    <row r="115" spans="2:15" ht="16.5">
      <c r="B115" s="293" t="s">
        <v>459</v>
      </c>
      <c r="C115" s="293" t="s">
        <v>460</v>
      </c>
      <c r="D115" s="619" t="s">
        <v>735</v>
      </c>
      <c r="E115" s="619"/>
      <c r="F115" s="619"/>
      <c r="G115" s="619"/>
      <c r="H115" s="279"/>
      <c r="I115" s="279"/>
      <c r="J115" s="303">
        <v>0.416666666666667</v>
      </c>
      <c r="K115" s="294">
        <v>4</v>
      </c>
      <c r="L115" s="294" t="s">
        <v>363</v>
      </c>
      <c r="M115" s="304"/>
      <c r="N115" s="306"/>
      <c r="O115" s="306"/>
    </row>
    <row r="116" spans="2:15" ht="16.5">
      <c r="B116" s="299" t="s">
        <v>464</v>
      </c>
      <c r="C116" s="299" t="s">
        <v>465</v>
      </c>
      <c r="D116" s="294" t="s">
        <v>237</v>
      </c>
      <c r="E116" s="294" t="s">
        <v>238</v>
      </c>
      <c r="F116" s="299"/>
      <c r="G116" s="294"/>
      <c r="H116" s="279"/>
      <c r="I116" s="279"/>
      <c r="J116" s="312"/>
      <c r="K116" s="294"/>
      <c r="L116" s="306"/>
      <c r="M116" s="294"/>
      <c r="N116" s="304"/>
      <c r="O116" s="304"/>
    </row>
    <row r="117" spans="2:15" ht="16.5">
      <c r="B117" s="303">
        <v>0.5833333333333334</v>
      </c>
      <c r="C117" s="294">
        <v>1</v>
      </c>
      <c r="D117" s="294" t="s">
        <v>444</v>
      </c>
      <c r="E117" s="304"/>
      <c r="F117" s="304"/>
      <c r="G117" s="310"/>
      <c r="H117" s="279"/>
      <c r="I117" s="279"/>
      <c r="J117" s="619" t="s">
        <v>478</v>
      </c>
      <c r="K117" s="619"/>
      <c r="L117" s="619"/>
      <c r="M117" s="619"/>
      <c r="N117" s="619"/>
      <c r="O117" s="619"/>
    </row>
    <row r="118" spans="2:15" ht="16.5">
      <c r="B118" s="303">
        <v>0.5972222222222222</v>
      </c>
      <c r="C118" s="294">
        <v>2</v>
      </c>
      <c r="D118" s="321" t="s">
        <v>448</v>
      </c>
      <c r="E118" s="310"/>
      <c r="F118" s="304"/>
      <c r="G118" s="310"/>
      <c r="H118" s="279"/>
      <c r="I118" s="279"/>
      <c r="J118" s="303">
        <v>0.5625</v>
      </c>
      <c r="K118" s="294">
        <v>5</v>
      </c>
      <c r="L118" s="294" t="s">
        <v>342</v>
      </c>
      <c r="M118" s="304"/>
      <c r="N118" s="304"/>
      <c r="O118" s="310"/>
    </row>
    <row r="119" spans="2:15" ht="16.5">
      <c r="B119" s="303">
        <v>0.611111111111111</v>
      </c>
      <c r="C119" s="294">
        <v>3</v>
      </c>
      <c r="D119" s="294" t="s">
        <v>450</v>
      </c>
      <c r="E119" s="304"/>
      <c r="F119" s="304"/>
      <c r="G119" s="310"/>
      <c r="H119" s="279"/>
      <c r="I119" s="279"/>
      <c r="J119" s="303">
        <v>0.576388888888889</v>
      </c>
      <c r="K119" s="294">
        <v>6</v>
      </c>
      <c r="L119" s="323" t="s">
        <v>351</v>
      </c>
      <c r="M119" s="304"/>
      <c r="N119" s="306"/>
      <c r="O119" s="304"/>
    </row>
    <row r="120" spans="2:15" ht="16.5">
      <c r="B120" s="303">
        <v>0.625</v>
      </c>
      <c r="C120" s="294">
        <v>4</v>
      </c>
      <c r="D120" s="294" t="s">
        <v>446</v>
      </c>
      <c r="E120" s="310"/>
      <c r="F120" s="304"/>
      <c r="G120" s="310"/>
      <c r="H120" s="279"/>
      <c r="I120" s="279"/>
      <c r="J120" s="303">
        <v>0.5902777777777778</v>
      </c>
      <c r="K120" s="294">
        <v>7</v>
      </c>
      <c r="L120" s="305" t="s">
        <v>346</v>
      </c>
      <c r="M120" s="304"/>
      <c r="N120" s="306"/>
      <c r="O120" s="306"/>
    </row>
    <row r="121" spans="2:15" ht="16.5">
      <c r="B121" s="312"/>
      <c r="C121" s="294"/>
      <c r="E121" s="294"/>
      <c r="F121" s="304"/>
      <c r="G121" s="294"/>
      <c r="H121" s="279"/>
      <c r="I121" s="279"/>
      <c r="J121" s="312">
        <v>0.6041666666666666</v>
      </c>
      <c r="K121" s="294">
        <v>8</v>
      </c>
      <c r="L121" s="294" t="s">
        <v>347</v>
      </c>
      <c r="M121" s="304"/>
      <c r="N121" s="306"/>
      <c r="O121" s="304"/>
    </row>
    <row r="122" spans="2:7" ht="16.5">
      <c r="B122" s="312"/>
      <c r="C122" s="294"/>
      <c r="D122" s="294"/>
      <c r="E122" s="294"/>
      <c r="F122" s="294"/>
      <c r="G122" s="306"/>
    </row>
    <row r="123" spans="3:7" ht="16.5">
      <c r="C123" s="316"/>
      <c r="G123" s="279"/>
    </row>
    <row r="124" ht="16.5">
      <c r="C124" s="316"/>
    </row>
    <row r="125" spans="2:15" ht="16.5">
      <c r="B125" s="279"/>
      <c r="C125" s="278"/>
      <c r="D125" s="620" t="s">
        <v>921</v>
      </c>
      <c r="E125" s="620"/>
      <c r="F125" s="620"/>
      <c r="K125" s="621" t="s">
        <v>922</v>
      </c>
      <c r="L125" s="621"/>
      <c r="M125" s="621"/>
      <c r="N125" s="621"/>
      <c r="O125" s="279"/>
    </row>
    <row r="126" spans="2:7" ht="17.25" thickBot="1">
      <c r="B126" s="279"/>
      <c r="C126" s="305" t="s">
        <v>493</v>
      </c>
      <c r="G126" s="279"/>
    </row>
    <row r="127" spans="2:15" ht="17.25" thickTop="1">
      <c r="B127" s="279"/>
      <c r="C127" s="289" t="s">
        <v>210</v>
      </c>
      <c r="D127" s="290" t="s">
        <v>456</v>
      </c>
      <c r="E127" s="291" t="s">
        <v>457</v>
      </c>
      <c r="F127" s="291" t="s">
        <v>458</v>
      </c>
      <c r="G127" s="292"/>
      <c r="J127" s="293" t="s">
        <v>734</v>
      </c>
      <c r="K127" s="293" t="s">
        <v>460</v>
      </c>
      <c r="L127" s="619" t="s">
        <v>735</v>
      </c>
      <c r="M127" s="619"/>
      <c r="N127" s="619"/>
      <c r="O127" s="619"/>
    </row>
    <row r="128" spans="2:15" ht="17.25" thickBot="1">
      <c r="B128" s="300"/>
      <c r="C128" s="295"/>
      <c r="D128" s="296" t="s">
        <v>466</v>
      </c>
      <c r="E128" s="301" t="s">
        <v>277</v>
      </c>
      <c r="F128" s="302" t="s">
        <v>467</v>
      </c>
      <c r="G128" s="298"/>
      <c r="J128" s="299" t="s">
        <v>464</v>
      </c>
      <c r="K128" s="299" t="s">
        <v>465</v>
      </c>
      <c r="L128" s="294" t="s">
        <v>237</v>
      </c>
      <c r="M128" s="294" t="s">
        <v>238</v>
      </c>
      <c r="N128" s="299"/>
      <c r="O128" s="294"/>
    </row>
    <row r="129" spans="2:15" ht="17.25" thickTop="1">
      <c r="B129" s="279"/>
      <c r="C129" s="295"/>
      <c r="G129" s="298"/>
      <c r="J129" s="303">
        <v>0.375</v>
      </c>
      <c r="K129" s="294">
        <v>1</v>
      </c>
      <c r="L129" s="294" t="s">
        <v>342</v>
      </c>
      <c r="M129" s="304"/>
      <c r="N129" s="306"/>
      <c r="O129" s="304"/>
    </row>
    <row r="130" spans="2:15" ht="17.25" thickBot="1">
      <c r="B130" s="279"/>
      <c r="C130" s="307"/>
      <c r="D130" s="308"/>
      <c r="E130" s="301"/>
      <c r="F130" s="302"/>
      <c r="G130" s="309"/>
      <c r="J130" s="303">
        <v>0.3888888888888889</v>
      </c>
      <c r="K130" s="294">
        <v>2</v>
      </c>
      <c r="L130" s="305" t="s">
        <v>346</v>
      </c>
      <c r="M130" s="304"/>
      <c r="N130" s="306"/>
      <c r="O130" s="304"/>
    </row>
    <row r="131" spans="2:15" ht="17.25" thickTop="1">
      <c r="B131" s="279"/>
      <c r="J131" s="613">
        <v>0.402777777777778</v>
      </c>
      <c r="K131" s="294">
        <v>3</v>
      </c>
      <c r="L131" s="294" t="s">
        <v>347</v>
      </c>
      <c r="M131" s="304"/>
      <c r="N131" s="306"/>
      <c r="O131" s="306"/>
    </row>
    <row r="132" spans="2:7" ht="16.5">
      <c r="B132" s="293" t="s">
        <v>459</v>
      </c>
      <c r="C132" s="293" t="s">
        <v>460</v>
      </c>
      <c r="D132" s="619" t="s">
        <v>735</v>
      </c>
      <c r="E132" s="619"/>
      <c r="F132" s="619"/>
      <c r="G132" s="619"/>
    </row>
    <row r="133" spans="2:7" ht="16.5">
      <c r="B133" s="299" t="s">
        <v>464</v>
      </c>
      <c r="C133" s="299" t="s">
        <v>465</v>
      </c>
      <c r="D133" s="294" t="s">
        <v>237</v>
      </c>
      <c r="E133" s="294" t="s">
        <v>238</v>
      </c>
      <c r="F133" s="299"/>
      <c r="G133" s="294"/>
    </row>
    <row r="134" spans="2:7" ht="16.5">
      <c r="B134" s="303">
        <v>0.5833333333333334</v>
      </c>
      <c r="C134" s="294">
        <v>1</v>
      </c>
      <c r="D134" s="294" t="s">
        <v>342</v>
      </c>
      <c r="E134" s="304"/>
      <c r="F134" s="304"/>
      <c r="G134" s="310"/>
    </row>
    <row r="135" spans="2:7" ht="16.5">
      <c r="B135" s="303">
        <v>0.5972222222222222</v>
      </c>
      <c r="C135" s="294">
        <v>2</v>
      </c>
      <c r="D135" s="323" t="s">
        <v>351</v>
      </c>
      <c r="E135" s="310"/>
      <c r="F135" s="304"/>
      <c r="G135" s="310"/>
    </row>
    <row r="136" spans="2:7" ht="16.5">
      <c r="B136" s="303">
        <v>0.611111111111111</v>
      </c>
      <c r="C136" s="294">
        <v>3</v>
      </c>
      <c r="D136" s="305" t="s">
        <v>346</v>
      </c>
      <c r="E136" s="304"/>
      <c r="F136" s="304"/>
      <c r="G136" s="310"/>
    </row>
    <row r="137" spans="2:7" ht="16.5">
      <c r="B137" s="303">
        <v>0.625</v>
      </c>
      <c r="C137" s="294">
        <v>4</v>
      </c>
      <c r="D137" s="294" t="s">
        <v>347</v>
      </c>
      <c r="E137" s="310"/>
      <c r="F137" s="304"/>
      <c r="G137" s="310"/>
    </row>
    <row r="138" spans="2:7" ht="16.5">
      <c r="B138" s="312"/>
      <c r="C138" s="294"/>
      <c r="E138" s="294"/>
      <c r="F138" s="304"/>
      <c r="G138" s="294"/>
    </row>
    <row r="139" spans="2:7" ht="16.5">
      <c r="B139" s="312"/>
      <c r="C139" s="294"/>
      <c r="D139" s="294"/>
      <c r="E139" s="294"/>
      <c r="F139" s="294"/>
      <c r="G139" s="306"/>
    </row>
  </sheetData>
  <sheetProtection selectLockedCells="1" selectUnlockedCells="1"/>
  <mergeCells count="35">
    <mergeCell ref="F1:J1"/>
    <mergeCell ref="F2:J2"/>
    <mergeCell ref="D7:F7"/>
    <mergeCell ref="K7:N7"/>
    <mergeCell ref="L8:O8"/>
    <mergeCell ref="D23:F23"/>
    <mergeCell ref="K23:N23"/>
    <mergeCell ref="L25:O25"/>
    <mergeCell ref="D30:G30"/>
    <mergeCell ref="D40:F40"/>
    <mergeCell ref="K40:N40"/>
    <mergeCell ref="L42:O42"/>
    <mergeCell ref="D47:G47"/>
    <mergeCell ref="D57:F57"/>
    <mergeCell ref="K57:N57"/>
    <mergeCell ref="L59:O59"/>
    <mergeCell ref="D64:G64"/>
    <mergeCell ref="D74:F74"/>
    <mergeCell ref="K74:N74"/>
    <mergeCell ref="L76:O76"/>
    <mergeCell ref="J78:O87"/>
    <mergeCell ref="D81:G81"/>
    <mergeCell ref="D91:F91"/>
    <mergeCell ref="K91:N91"/>
    <mergeCell ref="D125:F125"/>
    <mergeCell ref="D132:G132"/>
    <mergeCell ref="J117:O117"/>
    <mergeCell ref="L93:O93"/>
    <mergeCell ref="D98:G98"/>
    <mergeCell ref="D108:F108"/>
    <mergeCell ref="K108:N108"/>
    <mergeCell ref="L110:O110"/>
    <mergeCell ref="D115:G115"/>
    <mergeCell ref="K125:N125"/>
    <mergeCell ref="L127:O127"/>
  </mergeCells>
  <printOptions/>
  <pageMargins left="0.25" right="0.25" top="0.75" bottom="0.75" header="0.3" footer="0.3"/>
  <pageSetup fitToHeight="0" fitToWidth="1" horizontalDpi="600" verticalDpi="600" orientation="portrait" paperSize="9" scale="57" r:id="rId1"/>
  <rowBreaks count="2" manualBreakCount="2">
    <brk id="56" max="255" man="1"/>
    <brk id="12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3"/>
  <sheetViews>
    <sheetView zoomScale="60" zoomScaleNormal="60" zoomScalePageLayoutView="0" workbookViewId="0" topLeftCell="F1">
      <selection activeCell="P1" sqref="P1:Q16384"/>
    </sheetView>
  </sheetViews>
  <sheetFormatPr defaultColWidth="9.00390625" defaultRowHeight="16.5"/>
  <cols>
    <col min="1" max="1" width="4.125" style="0" customWidth="1"/>
    <col min="2" max="2" width="10.625" style="0" customWidth="1"/>
    <col min="3" max="3" width="10.625" style="1" customWidth="1"/>
    <col min="4" max="4" width="10.625" style="0" customWidth="1"/>
    <col min="5" max="5" width="30.625" style="1" customWidth="1"/>
    <col min="6" max="6" width="22.125" style="0" customWidth="1"/>
    <col min="7" max="7" width="14.125" style="0" customWidth="1"/>
    <col min="8" max="8" width="8.625" style="0" customWidth="1"/>
    <col min="9" max="9" width="20.625" style="0" customWidth="1"/>
    <col min="10" max="10" width="13.00390625" style="0" customWidth="1"/>
    <col min="11" max="11" width="8.625" style="0" customWidth="1"/>
    <col min="12" max="12" width="15.125" style="0" customWidth="1"/>
    <col min="13" max="13" width="19.00390625" style="1" customWidth="1"/>
    <col min="14" max="14" width="34.50390625" style="15" customWidth="1"/>
    <col min="15" max="15" width="20.625" style="0" customWidth="1"/>
    <col min="16" max="17" width="11.625" style="56" hidden="1" customWidth="1"/>
  </cols>
  <sheetData>
    <row r="1" spans="2:12" ht="21" customHeight="1">
      <c r="B1" s="16" t="s">
        <v>41</v>
      </c>
      <c r="C1" s="17"/>
      <c r="D1" s="17"/>
      <c r="E1" s="15"/>
      <c r="F1" s="18"/>
      <c r="G1" s="18"/>
      <c r="H1" s="18"/>
      <c r="I1" s="18"/>
      <c r="J1" s="18"/>
      <c r="K1" s="18"/>
      <c r="L1" s="18"/>
    </row>
    <row r="2" spans="2:12" ht="21" customHeight="1">
      <c r="B2" s="19" t="s">
        <v>42</v>
      </c>
      <c r="C2" s="20"/>
      <c r="D2" s="19"/>
      <c r="E2" s="18"/>
      <c r="F2" s="18"/>
      <c r="G2" s="18"/>
      <c r="H2" s="18"/>
      <c r="I2" s="18"/>
      <c r="J2" s="18"/>
      <c r="K2" s="1"/>
      <c r="L2" s="1"/>
    </row>
    <row r="3" spans="2:15" ht="21" customHeight="1">
      <c r="B3" s="21" t="s">
        <v>43</v>
      </c>
      <c r="C3" s="22"/>
      <c r="D3" s="23"/>
      <c r="E3" s="24"/>
      <c r="M3" s="25"/>
      <c r="N3" s="26"/>
      <c r="O3" s="27"/>
    </row>
    <row r="4" spans="2:15" ht="21" customHeight="1">
      <c r="B4" s="28" t="s">
        <v>44</v>
      </c>
      <c r="C4" s="29" t="s">
        <v>45</v>
      </c>
      <c r="D4" s="30" t="s">
        <v>46</v>
      </c>
      <c r="E4" s="31" t="s">
        <v>47</v>
      </c>
      <c r="F4" s="32"/>
      <c r="G4" s="33"/>
      <c r="H4" s="34" t="s">
        <v>48</v>
      </c>
      <c r="I4" s="32"/>
      <c r="J4" s="33"/>
      <c r="K4" s="34" t="s">
        <v>48</v>
      </c>
      <c r="L4" s="35" t="s">
        <v>49</v>
      </c>
      <c r="M4" s="31" t="s">
        <v>50</v>
      </c>
      <c r="N4" s="36"/>
      <c r="O4" s="37"/>
    </row>
    <row r="5" spans="2:17" ht="21" customHeight="1">
      <c r="B5" s="38" t="s">
        <v>51</v>
      </c>
      <c r="C5" s="39" t="s">
        <v>52</v>
      </c>
      <c r="D5" s="40" t="s">
        <v>53</v>
      </c>
      <c r="E5" s="41" t="s">
        <v>54</v>
      </c>
      <c r="F5" s="42" t="s">
        <v>55</v>
      </c>
      <c r="G5" s="43" t="s">
        <v>56</v>
      </c>
      <c r="H5" s="44" t="s">
        <v>57</v>
      </c>
      <c r="I5" s="43" t="s">
        <v>58</v>
      </c>
      <c r="J5" s="43" t="s">
        <v>56</v>
      </c>
      <c r="K5" s="44" t="s">
        <v>57</v>
      </c>
      <c r="L5" s="45" t="s">
        <v>57</v>
      </c>
      <c r="M5" s="41" t="s">
        <v>52</v>
      </c>
      <c r="N5" s="46"/>
      <c r="O5" s="41" t="s">
        <v>59</v>
      </c>
      <c r="P5" s="41" t="s">
        <v>892</v>
      </c>
      <c r="Q5" s="41" t="s">
        <v>893</v>
      </c>
    </row>
    <row r="6" spans="2:17" ht="19.5" customHeight="1">
      <c r="B6" s="325">
        <v>1</v>
      </c>
      <c r="C6" s="326" t="str">
        <f aca="true" t="shared" si="0" ref="C6:C37">M6</f>
        <v>AA1</v>
      </c>
      <c r="D6" s="326">
        <v>1</v>
      </c>
      <c r="E6" s="327" t="s">
        <v>60</v>
      </c>
      <c r="F6" s="327" t="s">
        <v>61</v>
      </c>
      <c r="G6" s="327" t="s">
        <v>62</v>
      </c>
      <c r="H6" s="327">
        <v>103.5</v>
      </c>
      <c r="I6" s="327" t="s">
        <v>63</v>
      </c>
      <c r="J6" s="327" t="s">
        <v>64</v>
      </c>
      <c r="K6" s="327">
        <v>103.5</v>
      </c>
      <c r="L6" s="48">
        <f aca="true" t="shared" si="1" ref="L6:L49">H6+K6</f>
        <v>207</v>
      </c>
      <c r="M6" s="49" t="s">
        <v>65</v>
      </c>
      <c r="N6" s="50"/>
      <c r="O6" s="51"/>
      <c r="P6" s="56">
        <v>108</v>
      </c>
      <c r="Q6" s="56">
        <f>P6/2</f>
        <v>54</v>
      </c>
    </row>
    <row r="7" spans="2:17" ht="19.5" customHeight="1">
      <c r="B7" s="328">
        <v>2</v>
      </c>
      <c r="C7" s="60" t="str">
        <f t="shared" si="0"/>
        <v>AB1</v>
      </c>
      <c r="D7" s="60">
        <v>2</v>
      </c>
      <c r="E7" s="215" t="s">
        <v>66</v>
      </c>
      <c r="F7" s="215" t="s">
        <v>67</v>
      </c>
      <c r="G7" s="215" t="s">
        <v>68</v>
      </c>
      <c r="H7" s="215">
        <v>99</v>
      </c>
      <c r="I7" s="215" t="s">
        <v>69</v>
      </c>
      <c r="J7" s="215" t="s">
        <v>70</v>
      </c>
      <c r="K7" s="215">
        <v>78</v>
      </c>
      <c r="L7" s="52">
        <f t="shared" si="1"/>
        <v>177</v>
      </c>
      <c r="M7" s="53" t="s">
        <v>71</v>
      </c>
      <c r="N7" s="50"/>
      <c r="O7" s="51"/>
      <c r="P7" s="56">
        <v>144</v>
      </c>
      <c r="Q7" s="56">
        <f aca="true" t="shared" si="2" ref="Q7:Q44">P7/2</f>
        <v>72</v>
      </c>
    </row>
    <row r="8" spans="2:17" ht="19.5" customHeight="1">
      <c r="B8" s="328">
        <v>3</v>
      </c>
      <c r="C8" s="60" t="str">
        <f t="shared" si="0"/>
        <v>AB2</v>
      </c>
      <c r="D8" s="60">
        <v>3</v>
      </c>
      <c r="E8" s="215" t="s">
        <v>72</v>
      </c>
      <c r="F8" s="215" t="s">
        <v>73</v>
      </c>
      <c r="G8" s="215" t="s">
        <v>74</v>
      </c>
      <c r="H8" s="215">
        <v>79.5</v>
      </c>
      <c r="I8" s="215" t="s">
        <v>75</v>
      </c>
      <c r="J8" s="215" t="s">
        <v>76</v>
      </c>
      <c r="K8" s="215">
        <v>88</v>
      </c>
      <c r="L8" s="52">
        <f t="shared" si="1"/>
        <v>167.5</v>
      </c>
      <c r="M8" s="53" t="s">
        <v>77</v>
      </c>
      <c r="N8" s="50"/>
      <c r="O8" s="51"/>
      <c r="P8" s="56">
        <v>96</v>
      </c>
      <c r="Q8" s="56">
        <f t="shared" si="2"/>
        <v>48</v>
      </c>
    </row>
    <row r="9" spans="2:17" ht="19.5" customHeight="1">
      <c r="B9" s="328">
        <v>4</v>
      </c>
      <c r="C9" s="60" t="str">
        <f t="shared" si="0"/>
        <v>AA2</v>
      </c>
      <c r="D9" s="60">
        <v>4</v>
      </c>
      <c r="E9" s="215" t="s">
        <v>78</v>
      </c>
      <c r="F9" s="215" t="s">
        <v>79</v>
      </c>
      <c r="G9" s="215" t="s">
        <v>80</v>
      </c>
      <c r="H9" s="215">
        <v>78</v>
      </c>
      <c r="I9" s="215" t="s">
        <v>81</v>
      </c>
      <c r="J9" s="215" t="s">
        <v>82</v>
      </c>
      <c r="K9" s="215">
        <v>78</v>
      </c>
      <c r="L9" s="52">
        <f t="shared" si="1"/>
        <v>156</v>
      </c>
      <c r="M9" s="53" t="s">
        <v>83</v>
      </c>
      <c r="N9" s="50"/>
      <c r="O9" s="51"/>
      <c r="P9" s="56">
        <v>120</v>
      </c>
      <c r="Q9" s="56">
        <f t="shared" si="2"/>
        <v>60</v>
      </c>
    </row>
    <row r="10" spans="2:17" ht="19.5" customHeight="1">
      <c r="B10" s="328">
        <v>5</v>
      </c>
      <c r="C10" s="60" t="str">
        <f t="shared" si="0"/>
        <v>AA3</v>
      </c>
      <c r="D10" s="60">
        <v>5</v>
      </c>
      <c r="E10" s="215" t="s">
        <v>84</v>
      </c>
      <c r="F10" s="215" t="s">
        <v>85</v>
      </c>
      <c r="G10" s="215" t="s">
        <v>86</v>
      </c>
      <c r="H10" s="215">
        <v>71.75</v>
      </c>
      <c r="I10" s="215" t="s">
        <v>87</v>
      </c>
      <c r="J10" s="215" t="s">
        <v>88</v>
      </c>
      <c r="K10" s="215">
        <v>68.75</v>
      </c>
      <c r="L10" s="52">
        <f t="shared" si="1"/>
        <v>140.5</v>
      </c>
      <c r="M10" s="53" t="s">
        <v>89</v>
      </c>
      <c r="N10" s="50"/>
      <c r="O10" s="51"/>
      <c r="P10" s="56">
        <v>84</v>
      </c>
      <c r="Q10" s="56">
        <f t="shared" si="2"/>
        <v>42</v>
      </c>
    </row>
    <row r="11" spans="2:17" ht="19.5" customHeight="1">
      <c r="B11" s="328">
        <v>6</v>
      </c>
      <c r="C11" s="60" t="str">
        <f t="shared" si="0"/>
        <v>AB3</v>
      </c>
      <c r="D11" s="60">
        <v>6</v>
      </c>
      <c r="E11" s="215" t="s">
        <v>90</v>
      </c>
      <c r="F11" s="215" t="s">
        <v>91</v>
      </c>
      <c r="G11" s="215" t="s">
        <v>92</v>
      </c>
      <c r="H11" s="215">
        <v>99</v>
      </c>
      <c r="I11" s="215" t="s">
        <v>93</v>
      </c>
      <c r="J11" s="215" t="s">
        <v>94</v>
      </c>
      <c r="K11" s="215">
        <v>39</v>
      </c>
      <c r="L11" s="52">
        <f t="shared" si="1"/>
        <v>138</v>
      </c>
      <c r="M11" s="53" t="s">
        <v>95</v>
      </c>
      <c r="N11" s="50"/>
      <c r="O11" s="51"/>
      <c r="P11" s="56">
        <v>132</v>
      </c>
      <c r="Q11" s="56">
        <f t="shared" si="2"/>
        <v>66</v>
      </c>
    </row>
    <row r="12" spans="2:17" ht="19.5" customHeight="1">
      <c r="B12" s="328">
        <v>7</v>
      </c>
      <c r="C12" s="60" t="str">
        <f t="shared" si="0"/>
        <v>AB4</v>
      </c>
      <c r="D12" s="60">
        <v>7</v>
      </c>
      <c r="E12" s="215" t="s">
        <v>96</v>
      </c>
      <c r="F12" s="215" t="s">
        <v>97</v>
      </c>
      <c r="G12" s="215" t="s">
        <v>98</v>
      </c>
      <c r="H12" s="215">
        <v>58.5</v>
      </c>
      <c r="I12" s="215" t="s">
        <v>99</v>
      </c>
      <c r="J12" s="215" t="s">
        <v>100</v>
      </c>
      <c r="K12" s="215">
        <v>70</v>
      </c>
      <c r="L12" s="52">
        <f t="shared" si="1"/>
        <v>128.5</v>
      </c>
      <c r="M12" s="53" t="s">
        <v>101</v>
      </c>
      <c r="N12" s="50"/>
      <c r="O12" s="51"/>
      <c r="P12" s="56">
        <v>84</v>
      </c>
      <c r="Q12" s="56">
        <f t="shared" si="2"/>
        <v>42</v>
      </c>
    </row>
    <row r="13" spans="2:17" ht="19.5" customHeight="1">
      <c r="B13" s="329">
        <v>8</v>
      </c>
      <c r="C13" s="330" t="str">
        <f t="shared" si="0"/>
        <v>AA4</v>
      </c>
      <c r="D13" s="330">
        <v>8</v>
      </c>
      <c r="E13" s="331" t="s">
        <v>102</v>
      </c>
      <c r="F13" s="331" t="s">
        <v>103</v>
      </c>
      <c r="G13" s="331" t="s">
        <v>104</v>
      </c>
      <c r="H13" s="331">
        <v>60.75</v>
      </c>
      <c r="I13" s="331" t="s">
        <v>105</v>
      </c>
      <c r="J13" s="331" t="s">
        <v>106</v>
      </c>
      <c r="K13" s="331">
        <v>60.75</v>
      </c>
      <c r="L13" s="54">
        <f t="shared" si="1"/>
        <v>121.5</v>
      </c>
      <c r="M13" s="55" t="s">
        <v>107</v>
      </c>
      <c r="N13" s="50"/>
      <c r="O13" s="51"/>
      <c r="P13" s="56">
        <v>96</v>
      </c>
      <c r="Q13" s="56">
        <f t="shared" si="2"/>
        <v>48</v>
      </c>
    </row>
    <row r="14" spans="2:17" ht="19.5" customHeight="1">
      <c r="B14" s="332">
        <v>9</v>
      </c>
      <c r="C14" s="333" t="str">
        <f t="shared" si="0"/>
        <v>A1</v>
      </c>
      <c r="D14" s="333">
        <v>9</v>
      </c>
      <c r="E14" s="333" t="s">
        <v>108</v>
      </c>
      <c r="F14" s="333" t="s">
        <v>563</v>
      </c>
      <c r="G14" s="334" t="s">
        <v>109</v>
      </c>
      <c r="H14" s="333">
        <v>51</v>
      </c>
      <c r="I14" s="333" t="s">
        <v>564</v>
      </c>
      <c r="J14" s="334" t="s">
        <v>110</v>
      </c>
      <c r="K14" s="333">
        <v>61.5</v>
      </c>
      <c r="L14" s="335">
        <f t="shared" si="1"/>
        <v>112.5</v>
      </c>
      <c r="M14" s="336" t="s">
        <v>111</v>
      </c>
      <c r="N14" s="58"/>
      <c r="O14" s="59"/>
      <c r="P14" s="56">
        <v>120</v>
      </c>
      <c r="Q14" s="56">
        <f t="shared" si="2"/>
        <v>60</v>
      </c>
    </row>
    <row r="15" spans="2:17" ht="19.5" customHeight="1">
      <c r="B15" s="332">
        <v>10</v>
      </c>
      <c r="C15" s="337" t="str">
        <f t="shared" si="0"/>
        <v>B1</v>
      </c>
      <c r="D15" s="333">
        <v>10</v>
      </c>
      <c r="E15" s="337" t="s">
        <v>112</v>
      </c>
      <c r="F15" s="337" t="s">
        <v>565</v>
      </c>
      <c r="G15" s="337" t="s">
        <v>113</v>
      </c>
      <c r="H15" s="337">
        <v>48.75</v>
      </c>
      <c r="I15" s="337" t="s">
        <v>566</v>
      </c>
      <c r="J15" s="337" t="s">
        <v>114</v>
      </c>
      <c r="K15" s="337">
        <v>48.75</v>
      </c>
      <c r="L15" s="338">
        <f t="shared" si="1"/>
        <v>97.5</v>
      </c>
      <c r="M15" s="339" t="s">
        <v>115</v>
      </c>
      <c r="N15" s="50"/>
      <c r="O15" s="51"/>
      <c r="P15" s="56">
        <v>108</v>
      </c>
      <c r="Q15" s="56">
        <f t="shared" si="2"/>
        <v>54</v>
      </c>
    </row>
    <row r="16" spans="2:17" ht="19.5" customHeight="1">
      <c r="B16" s="332">
        <v>11</v>
      </c>
      <c r="C16" s="337" t="str">
        <f t="shared" si="0"/>
        <v>C1</v>
      </c>
      <c r="D16" s="333">
        <v>11</v>
      </c>
      <c r="E16" s="337" t="s">
        <v>116</v>
      </c>
      <c r="F16" s="337" t="s">
        <v>567</v>
      </c>
      <c r="G16" s="337" t="s">
        <v>117</v>
      </c>
      <c r="H16" s="337">
        <v>43.5</v>
      </c>
      <c r="I16" s="337" t="s">
        <v>568</v>
      </c>
      <c r="J16" s="337" t="s">
        <v>118</v>
      </c>
      <c r="K16" s="337">
        <v>43.5</v>
      </c>
      <c r="L16" s="338">
        <f t="shared" si="1"/>
        <v>87</v>
      </c>
      <c r="M16" s="339" t="s">
        <v>119</v>
      </c>
      <c r="N16" s="50"/>
      <c r="O16" s="51"/>
      <c r="P16" s="56">
        <v>72</v>
      </c>
      <c r="Q16" s="56">
        <f t="shared" si="2"/>
        <v>36</v>
      </c>
    </row>
    <row r="17" spans="2:17" ht="19.5" customHeight="1">
      <c r="B17" s="332">
        <v>12</v>
      </c>
      <c r="C17" s="337" t="str">
        <f t="shared" si="0"/>
        <v>D1</v>
      </c>
      <c r="D17" s="333">
        <v>12</v>
      </c>
      <c r="E17" s="337" t="s">
        <v>120</v>
      </c>
      <c r="F17" s="337" t="s">
        <v>569</v>
      </c>
      <c r="G17" s="337" t="s">
        <v>121</v>
      </c>
      <c r="H17" s="337">
        <v>49.5</v>
      </c>
      <c r="I17" s="337" t="s">
        <v>570</v>
      </c>
      <c r="J17" s="337" t="s">
        <v>122</v>
      </c>
      <c r="K17" s="337">
        <v>36</v>
      </c>
      <c r="L17" s="338">
        <f t="shared" si="1"/>
        <v>85.5</v>
      </c>
      <c r="M17" s="339" t="s">
        <v>123</v>
      </c>
      <c r="N17" s="50"/>
      <c r="O17" s="51"/>
      <c r="P17" s="56">
        <v>72</v>
      </c>
      <c r="Q17" s="56">
        <f t="shared" si="2"/>
        <v>36</v>
      </c>
    </row>
    <row r="18" spans="2:17" ht="19.5" customHeight="1">
      <c r="B18" s="332">
        <v>13</v>
      </c>
      <c r="C18" s="337" t="str">
        <f t="shared" si="0"/>
        <v>E1</v>
      </c>
      <c r="D18" s="333">
        <v>13</v>
      </c>
      <c r="E18" s="337" t="s">
        <v>571</v>
      </c>
      <c r="F18" s="337" t="s">
        <v>572</v>
      </c>
      <c r="G18" s="337" t="s">
        <v>124</v>
      </c>
      <c r="H18" s="337">
        <v>44</v>
      </c>
      <c r="I18" s="337" t="s">
        <v>573</v>
      </c>
      <c r="J18" s="337" t="s">
        <v>125</v>
      </c>
      <c r="K18" s="337">
        <v>38</v>
      </c>
      <c r="L18" s="338">
        <f t="shared" si="1"/>
        <v>82</v>
      </c>
      <c r="M18" s="339" t="s">
        <v>126</v>
      </c>
      <c r="N18" s="50"/>
      <c r="O18" s="51"/>
      <c r="P18" s="56">
        <v>54</v>
      </c>
      <c r="Q18" s="56">
        <f t="shared" si="2"/>
        <v>27</v>
      </c>
    </row>
    <row r="19" spans="2:17" ht="19.5" customHeight="1">
      <c r="B19" s="332">
        <v>14</v>
      </c>
      <c r="C19" s="337" t="str">
        <f t="shared" si="0"/>
        <v>F1</v>
      </c>
      <c r="D19" s="333">
        <v>14</v>
      </c>
      <c r="E19" s="337" t="s">
        <v>127</v>
      </c>
      <c r="F19" s="337" t="s">
        <v>574</v>
      </c>
      <c r="G19" s="337" t="s">
        <v>128</v>
      </c>
      <c r="H19" s="337">
        <v>39</v>
      </c>
      <c r="I19" s="337" t="s">
        <v>575</v>
      </c>
      <c r="J19" s="337" t="s">
        <v>129</v>
      </c>
      <c r="K19" s="337">
        <v>39</v>
      </c>
      <c r="L19" s="338">
        <f t="shared" si="1"/>
        <v>78</v>
      </c>
      <c r="M19" s="339" t="s">
        <v>130</v>
      </c>
      <c r="N19" s="50"/>
      <c r="O19" s="51"/>
      <c r="P19" s="56">
        <v>84</v>
      </c>
      <c r="Q19" s="56">
        <f t="shared" si="2"/>
        <v>42</v>
      </c>
    </row>
    <row r="20" spans="2:17" ht="19.5" customHeight="1">
      <c r="B20" s="332">
        <v>15</v>
      </c>
      <c r="C20" s="337" t="str">
        <f t="shared" si="0"/>
        <v>G1</v>
      </c>
      <c r="D20" s="333">
        <v>15</v>
      </c>
      <c r="E20" s="337" t="s">
        <v>131</v>
      </c>
      <c r="F20" s="337" t="s">
        <v>576</v>
      </c>
      <c r="G20" s="337" t="s">
        <v>132</v>
      </c>
      <c r="H20" s="337">
        <v>47.5</v>
      </c>
      <c r="I20" s="337" t="s">
        <v>577</v>
      </c>
      <c r="J20" s="337" t="s">
        <v>133</v>
      </c>
      <c r="K20" s="337">
        <v>28</v>
      </c>
      <c r="L20" s="338">
        <f t="shared" si="1"/>
        <v>75.5</v>
      </c>
      <c r="M20" s="339" t="s">
        <v>134</v>
      </c>
      <c r="N20" s="50"/>
      <c r="O20" s="51"/>
      <c r="P20" s="56">
        <v>72</v>
      </c>
      <c r="Q20" s="56">
        <f t="shared" si="2"/>
        <v>36</v>
      </c>
    </row>
    <row r="21" spans="2:17" ht="19.5" customHeight="1">
      <c r="B21" s="332">
        <v>16</v>
      </c>
      <c r="C21" s="337" t="str">
        <f t="shared" si="0"/>
        <v>H1</v>
      </c>
      <c r="D21" s="333">
        <v>16</v>
      </c>
      <c r="E21" s="337" t="s">
        <v>578</v>
      </c>
      <c r="F21" s="337" t="s">
        <v>579</v>
      </c>
      <c r="G21" s="337" t="s">
        <v>135</v>
      </c>
      <c r="H21" s="337">
        <v>36</v>
      </c>
      <c r="I21" s="337" t="s">
        <v>580</v>
      </c>
      <c r="J21" s="337" t="s">
        <v>136</v>
      </c>
      <c r="K21" s="337">
        <v>36</v>
      </c>
      <c r="L21" s="338">
        <f t="shared" si="1"/>
        <v>72</v>
      </c>
      <c r="M21" s="339" t="s">
        <v>137</v>
      </c>
      <c r="N21" s="50"/>
      <c r="O21" s="51"/>
      <c r="P21" s="56">
        <v>36</v>
      </c>
      <c r="Q21" s="56">
        <f t="shared" si="2"/>
        <v>18</v>
      </c>
    </row>
    <row r="22" spans="2:17" ht="19.5" customHeight="1">
      <c r="B22" s="332">
        <v>17</v>
      </c>
      <c r="C22" s="337" t="str">
        <f t="shared" si="0"/>
        <v>H2</v>
      </c>
      <c r="D22" s="333">
        <v>17</v>
      </c>
      <c r="E22" s="337" t="s">
        <v>581</v>
      </c>
      <c r="F22" s="337" t="s">
        <v>582</v>
      </c>
      <c r="G22" s="337" t="s">
        <v>138</v>
      </c>
      <c r="H22" s="337">
        <v>40.5</v>
      </c>
      <c r="I22" s="337" t="s">
        <v>583</v>
      </c>
      <c r="J22" s="337" t="s">
        <v>139</v>
      </c>
      <c r="K22" s="337">
        <v>27</v>
      </c>
      <c r="L22" s="338">
        <f t="shared" si="1"/>
        <v>67.5</v>
      </c>
      <c r="M22" s="339" t="s">
        <v>140</v>
      </c>
      <c r="N22" s="50"/>
      <c r="O22" s="51"/>
      <c r="P22" s="56">
        <v>54</v>
      </c>
      <c r="Q22" s="56">
        <f t="shared" si="2"/>
        <v>27</v>
      </c>
    </row>
    <row r="23" spans="2:17" ht="19.5" customHeight="1">
      <c r="B23" s="332">
        <v>18</v>
      </c>
      <c r="C23" s="337" t="str">
        <f t="shared" si="0"/>
        <v>G2</v>
      </c>
      <c r="D23" s="333">
        <v>18</v>
      </c>
      <c r="E23" s="337" t="s">
        <v>584</v>
      </c>
      <c r="F23" s="337" t="s">
        <v>585</v>
      </c>
      <c r="G23" s="337" t="s">
        <v>141</v>
      </c>
      <c r="H23" s="337">
        <v>66</v>
      </c>
      <c r="I23" s="337" t="s">
        <v>586</v>
      </c>
      <c r="J23" s="340" t="s">
        <v>142</v>
      </c>
      <c r="K23" s="337">
        <v>0</v>
      </c>
      <c r="L23" s="338">
        <f t="shared" si="1"/>
        <v>66</v>
      </c>
      <c r="M23" s="339" t="s">
        <v>143</v>
      </c>
      <c r="N23" s="50"/>
      <c r="O23" s="51"/>
      <c r="P23" s="56">
        <v>72</v>
      </c>
      <c r="Q23" s="56">
        <f t="shared" si="2"/>
        <v>36</v>
      </c>
    </row>
    <row r="24" spans="2:17" ht="19.5" customHeight="1">
      <c r="B24" s="332">
        <v>19</v>
      </c>
      <c r="C24" s="337" t="str">
        <f t="shared" si="0"/>
        <v>F2</v>
      </c>
      <c r="D24" s="333">
        <v>19</v>
      </c>
      <c r="E24" s="337" t="s">
        <v>587</v>
      </c>
      <c r="F24" s="337" t="s">
        <v>588</v>
      </c>
      <c r="G24" s="337" t="s">
        <v>144</v>
      </c>
      <c r="H24" s="337">
        <v>39</v>
      </c>
      <c r="I24" s="337" t="s">
        <v>589</v>
      </c>
      <c r="J24" s="337" t="s">
        <v>145</v>
      </c>
      <c r="K24" s="337">
        <v>22.5</v>
      </c>
      <c r="L24" s="338">
        <f t="shared" si="1"/>
        <v>61.5</v>
      </c>
      <c r="M24" s="339" t="s">
        <v>146</v>
      </c>
      <c r="N24" s="50"/>
      <c r="O24" s="51"/>
      <c r="P24" s="56">
        <v>54</v>
      </c>
      <c r="Q24" s="56">
        <f t="shared" si="2"/>
        <v>27</v>
      </c>
    </row>
    <row r="25" spans="2:17" ht="19.5" customHeight="1">
      <c r="B25" s="332">
        <v>20</v>
      </c>
      <c r="C25" s="337" t="str">
        <f t="shared" si="0"/>
        <v>E2</v>
      </c>
      <c r="D25" s="333">
        <v>20</v>
      </c>
      <c r="E25" s="337" t="s">
        <v>590</v>
      </c>
      <c r="F25" s="337" t="s">
        <v>591</v>
      </c>
      <c r="G25" s="337" t="s">
        <v>147</v>
      </c>
      <c r="H25" s="337">
        <v>37</v>
      </c>
      <c r="I25" s="337" t="s">
        <v>592</v>
      </c>
      <c r="J25" s="337" t="s">
        <v>148</v>
      </c>
      <c r="K25" s="337">
        <v>18</v>
      </c>
      <c r="L25" s="338">
        <f t="shared" si="1"/>
        <v>55</v>
      </c>
      <c r="M25" s="339" t="s">
        <v>149</v>
      </c>
      <c r="N25" s="50"/>
      <c r="O25" s="51"/>
      <c r="P25" s="56">
        <v>96</v>
      </c>
      <c r="Q25" s="56">
        <f t="shared" si="2"/>
        <v>48</v>
      </c>
    </row>
    <row r="26" spans="2:17" ht="19.5" customHeight="1">
      <c r="B26" s="332">
        <v>21</v>
      </c>
      <c r="C26" s="337" t="str">
        <f t="shared" si="0"/>
        <v>D2</v>
      </c>
      <c r="D26" s="337">
        <v>21</v>
      </c>
      <c r="E26" s="337" t="s">
        <v>593</v>
      </c>
      <c r="F26" s="337" t="s">
        <v>594</v>
      </c>
      <c r="G26" s="337" t="s">
        <v>150</v>
      </c>
      <c r="H26" s="337">
        <v>27</v>
      </c>
      <c r="I26" s="337" t="s">
        <v>595</v>
      </c>
      <c r="J26" s="337" t="s">
        <v>151</v>
      </c>
      <c r="K26" s="337">
        <v>27</v>
      </c>
      <c r="L26" s="338">
        <f t="shared" si="1"/>
        <v>54</v>
      </c>
      <c r="M26" s="341" t="s">
        <v>720</v>
      </c>
      <c r="N26" s="61" t="s">
        <v>152</v>
      </c>
      <c r="O26" s="51"/>
      <c r="P26" s="56">
        <v>48</v>
      </c>
      <c r="Q26" s="56">
        <f t="shared" si="2"/>
        <v>24</v>
      </c>
    </row>
    <row r="27" spans="2:17" ht="19.5" customHeight="1">
      <c r="B27" s="332">
        <v>22</v>
      </c>
      <c r="C27" s="337" t="str">
        <f t="shared" si="0"/>
        <v>C2</v>
      </c>
      <c r="D27" s="337">
        <v>21</v>
      </c>
      <c r="E27" s="337" t="s">
        <v>153</v>
      </c>
      <c r="F27" s="337" t="s">
        <v>596</v>
      </c>
      <c r="G27" s="337" t="s">
        <v>154</v>
      </c>
      <c r="H27" s="337">
        <v>27</v>
      </c>
      <c r="I27" s="337" t="s">
        <v>597</v>
      </c>
      <c r="J27" s="337" t="s">
        <v>155</v>
      </c>
      <c r="K27" s="337">
        <v>27</v>
      </c>
      <c r="L27" s="338">
        <f t="shared" si="1"/>
        <v>54</v>
      </c>
      <c r="M27" s="341" t="s">
        <v>719</v>
      </c>
      <c r="N27" s="61" t="s">
        <v>152</v>
      </c>
      <c r="O27" s="51"/>
      <c r="P27" s="56">
        <v>48</v>
      </c>
      <c r="Q27" s="56">
        <f t="shared" si="2"/>
        <v>24</v>
      </c>
    </row>
    <row r="28" spans="2:17" ht="19.5" customHeight="1">
      <c r="B28" s="332">
        <v>23</v>
      </c>
      <c r="C28" s="337" t="str">
        <f t="shared" si="0"/>
        <v>B2</v>
      </c>
      <c r="D28" s="337">
        <v>23</v>
      </c>
      <c r="E28" s="337" t="s">
        <v>598</v>
      </c>
      <c r="F28" s="337" t="s">
        <v>599</v>
      </c>
      <c r="G28" s="337" t="s">
        <v>156</v>
      </c>
      <c r="H28" s="337">
        <v>46.5</v>
      </c>
      <c r="I28" s="337" t="s">
        <v>600</v>
      </c>
      <c r="J28" s="340" t="s">
        <v>142</v>
      </c>
      <c r="K28" s="337">
        <v>0</v>
      </c>
      <c r="L28" s="338">
        <f t="shared" si="1"/>
        <v>46.5</v>
      </c>
      <c r="M28" s="339" t="s">
        <v>157</v>
      </c>
      <c r="N28" s="50"/>
      <c r="O28" s="51"/>
      <c r="P28" s="56">
        <v>0</v>
      </c>
      <c r="Q28" s="56">
        <f t="shared" si="2"/>
        <v>0</v>
      </c>
    </row>
    <row r="29" spans="2:17" ht="19.5" customHeight="1">
      <c r="B29" s="332">
        <v>24</v>
      </c>
      <c r="C29" s="337" t="str">
        <f t="shared" si="0"/>
        <v>A2</v>
      </c>
      <c r="D29" s="337">
        <v>24</v>
      </c>
      <c r="E29" s="337" t="s">
        <v>601</v>
      </c>
      <c r="F29" s="337" t="s">
        <v>602</v>
      </c>
      <c r="G29" s="337" t="s">
        <v>158</v>
      </c>
      <c r="H29" s="337">
        <v>36</v>
      </c>
      <c r="I29" s="337" t="s">
        <v>603</v>
      </c>
      <c r="J29" s="337" t="s">
        <v>159</v>
      </c>
      <c r="K29" s="337">
        <v>9</v>
      </c>
      <c r="L29" s="338">
        <f t="shared" si="1"/>
        <v>45</v>
      </c>
      <c r="M29" s="339" t="s">
        <v>160</v>
      </c>
      <c r="N29" s="50"/>
      <c r="O29" s="51"/>
      <c r="P29" s="56">
        <v>54</v>
      </c>
      <c r="Q29" s="56">
        <f t="shared" si="2"/>
        <v>27</v>
      </c>
    </row>
    <row r="30" spans="2:17" ht="19.5" customHeight="1">
      <c r="B30" s="332">
        <v>25</v>
      </c>
      <c r="C30" s="337" t="str">
        <f t="shared" si="0"/>
        <v>A3</v>
      </c>
      <c r="D30" s="337">
        <v>25</v>
      </c>
      <c r="E30" s="337">
        <v>1987.5</v>
      </c>
      <c r="F30" s="337" t="s">
        <v>604</v>
      </c>
      <c r="G30" s="337" t="s">
        <v>161</v>
      </c>
      <c r="H30" s="337">
        <v>36</v>
      </c>
      <c r="I30" s="337" t="s">
        <v>605</v>
      </c>
      <c r="J30" s="337" t="s">
        <v>162</v>
      </c>
      <c r="K30" s="337">
        <v>0</v>
      </c>
      <c r="L30" s="338">
        <f t="shared" si="1"/>
        <v>36</v>
      </c>
      <c r="M30" s="341" t="s">
        <v>721</v>
      </c>
      <c r="N30" s="61" t="s">
        <v>163</v>
      </c>
      <c r="O30" s="51"/>
      <c r="P30" s="56">
        <v>0</v>
      </c>
      <c r="Q30" s="56">
        <f t="shared" si="2"/>
        <v>0</v>
      </c>
    </row>
    <row r="31" spans="2:17" ht="19.5" customHeight="1">
      <c r="B31" s="332">
        <v>26</v>
      </c>
      <c r="C31" s="337" t="str">
        <f t="shared" si="0"/>
        <v>B3</v>
      </c>
      <c r="D31" s="337">
        <v>25</v>
      </c>
      <c r="E31" s="337" t="s">
        <v>606</v>
      </c>
      <c r="F31" s="337" t="s">
        <v>607</v>
      </c>
      <c r="G31" s="337" t="s">
        <v>164</v>
      </c>
      <c r="H31" s="337">
        <v>18</v>
      </c>
      <c r="I31" s="337" t="s">
        <v>608</v>
      </c>
      <c r="J31" s="337" t="s">
        <v>165</v>
      </c>
      <c r="K31" s="337">
        <v>18</v>
      </c>
      <c r="L31" s="338">
        <f t="shared" si="1"/>
        <v>36</v>
      </c>
      <c r="M31" s="341" t="s">
        <v>722</v>
      </c>
      <c r="N31" s="61" t="s">
        <v>163</v>
      </c>
      <c r="O31" s="51"/>
      <c r="P31" s="56">
        <v>54</v>
      </c>
      <c r="Q31" s="56">
        <f t="shared" si="2"/>
        <v>27</v>
      </c>
    </row>
    <row r="32" spans="2:17" ht="19.5" customHeight="1">
      <c r="B32" s="332">
        <v>27</v>
      </c>
      <c r="C32" s="337" t="str">
        <f t="shared" si="0"/>
        <v>C3</v>
      </c>
      <c r="D32" s="337">
        <v>27</v>
      </c>
      <c r="E32" s="337" t="s">
        <v>609</v>
      </c>
      <c r="F32" s="337" t="s">
        <v>610</v>
      </c>
      <c r="G32" s="337" t="s">
        <v>166</v>
      </c>
      <c r="H32" s="337">
        <v>13.5</v>
      </c>
      <c r="I32" s="337" t="s">
        <v>611</v>
      </c>
      <c r="J32" s="337" t="s">
        <v>167</v>
      </c>
      <c r="K32" s="337">
        <v>0</v>
      </c>
      <c r="L32" s="338">
        <f t="shared" si="1"/>
        <v>13.5</v>
      </c>
      <c r="M32" s="339" t="s">
        <v>168</v>
      </c>
      <c r="N32" s="50"/>
      <c r="O32" s="51"/>
      <c r="P32" s="56">
        <v>54</v>
      </c>
      <c r="Q32" s="56">
        <f t="shared" si="2"/>
        <v>27</v>
      </c>
    </row>
    <row r="33" spans="2:17" ht="19.5" customHeight="1">
      <c r="B33" s="332">
        <v>28</v>
      </c>
      <c r="C33" s="337" t="str">
        <f t="shared" si="0"/>
        <v>D3</v>
      </c>
      <c r="D33" s="337">
        <v>28</v>
      </c>
      <c r="E33" s="337" t="s">
        <v>612</v>
      </c>
      <c r="F33" s="337" t="s">
        <v>613</v>
      </c>
      <c r="G33" s="337" t="s">
        <v>169</v>
      </c>
      <c r="H33" s="337">
        <v>9.75</v>
      </c>
      <c r="I33" s="337" t="s">
        <v>614</v>
      </c>
      <c r="J33" s="337" t="s">
        <v>170</v>
      </c>
      <c r="K33" s="337">
        <v>3</v>
      </c>
      <c r="L33" s="338">
        <f t="shared" si="1"/>
        <v>12.75</v>
      </c>
      <c r="M33" s="339" t="s">
        <v>171</v>
      </c>
      <c r="N33" s="50"/>
      <c r="O33" s="51"/>
      <c r="P33" s="56">
        <v>54</v>
      </c>
      <c r="Q33" s="56">
        <f t="shared" si="2"/>
        <v>27</v>
      </c>
    </row>
    <row r="34" spans="2:17" ht="19.5" customHeight="1">
      <c r="B34" s="332">
        <v>29</v>
      </c>
      <c r="C34" s="337" t="str">
        <f t="shared" si="0"/>
        <v>E3</v>
      </c>
      <c r="D34" s="337">
        <v>29</v>
      </c>
      <c r="E34" s="337" t="s">
        <v>172</v>
      </c>
      <c r="F34" s="337" t="s">
        <v>615</v>
      </c>
      <c r="G34" s="337" t="s">
        <v>173</v>
      </c>
      <c r="H34" s="337">
        <v>6</v>
      </c>
      <c r="I34" s="337" t="s">
        <v>616</v>
      </c>
      <c r="J34" s="337" t="s">
        <v>174</v>
      </c>
      <c r="K34" s="337">
        <v>6</v>
      </c>
      <c r="L34" s="338">
        <f t="shared" si="1"/>
        <v>12</v>
      </c>
      <c r="M34" s="341" t="s">
        <v>723</v>
      </c>
      <c r="N34" s="61" t="s">
        <v>175</v>
      </c>
      <c r="O34" s="51"/>
      <c r="P34" s="56">
        <v>0</v>
      </c>
      <c r="Q34" s="56">
        <f t="shared" si="2"/>
        <v>0</v>
      </c>
    </row>
    <row r="35" spans="2:17" ht="19.5" customHeight="1">
      <c r="B35" s="332">
        <v>30</v>
      </c>
      <c r="C35" s="337" t="str">
        <f t="shared" si="0"/>
        <v>F3</v>
      </c>
      <c r="D35" s="337">
        <v>29</v>
      </c>
      <c r="E35" s="337" t="s">
        <v>176</v>
      </c>
      <c r="F35" s="337" t="s">
        <v>617</v>
      </c>
      <c r="G35" s="337" t="s">
        <v>177</v>
      </c>
      <c r="H35" s="337">
        <v>0</v>
      </c>
      <c r="I35" s="337" t="s">
        <v>618</v>
      </c>
      <c r="J35" s="337" t="s">
        <v>178</v>
      </c>
      <c r="K35" s="337">
        <v>12</v>
      </c>
      <c r="L35" s="338">
        <f t="shared" si="1"/>
        <v>12</v>
      </c>
      <c r="M35" s="341" t="s">
        <v>724</v>
      </c>
      <c r="N35" s="61" t="s">
        <v>175</v>
      </c>
      <c r="O35" s="51"/>
      <c r="P35" s="56">
        <v>48</v>
      </c>
      <c r="Q35" s="56">
        <f t="shared" si="2"/>
        <v>24</v>
      </c>
    </row>
    <row r="36" spans="2:17" ht="19.5" customHeight="1">
      <c r="B36" s="332">
        <v>31</v>
      </c>
      <c r="C36" s="337" t="str">
        <f t="shared" si="0"/>
        <v>E4</v>
      </c>
      <c r="D36" s="337">
        <v>31</v>
      </c>
      <c r="E36" s="337" t="s">
        <v>619</v>
      </c>
      <c r="F36" s="337" t="s">
        <v>620</v>
      </c>
      <c r="G36" s="340" t="s">
        <v>142</v>
      </c>
      <c r="H36" s="337">
        <v>0</v>
      </c>
      <c r="I36" s="337" t="s">
        <v>621</v>
      </c>
      <c r="J36" s="340" t="s">
        <v>142</v>
      </c>
      <c r="K36" s="337">
        <v>0</v>
      </c>
      <c r="L36" s="338">
        <f t="shared" si="1"/>
        <v>0</v>
      </c>
      <c r="M36" s="341" t="s">
        <v>730</v>
      </c>
      <c r="N36" s="61" t="s">
        <v>179</v>
      </c>
      <c r="O36" s="51"/>
      <c r="P36" s="56">
        <v>48</v>
      </c>
      <c r="Q36" s="56">
        <f t="shared" si="2"/>
        <v>24</v>
      </c>
    </row>
    <row r="37" spans="2:17" ht="19.5" customHeight="1">
      <c r="B37" s="332">
        <v>32</v>
      </c>
      <c r="C37" s="337" t="str">
        <f t="shared" si="0"/>
        <v>B4</v>
      </c>
      <c r="D37" s="337">
        <v>31</v>
      </c>
      <c r="E37" s="337" t="s">
        <v>180</v>
      </c>
      <c r="F37" s="337" t="s">
        <v>622</v>
      </c>
      <c r="G37" s="337" t="s">
        <v>181</v>
      </c>
      <c r="H37" s="337">
        <v>0</v>
      </c>
      <c r="I37" s="337" t="s">
        <v>623</v>
      </c>
      <c r="J37" s="337" t="s">
        <v>182</v>
      </c>
      <c r="K37" s="337">
        <v>0</v>
      </c>
      <c r="L37" s="338">
        <f t="shared" si="1"/>
        <v>0</v>
      </c>
      <c r="M37" s="341" t="s">
        <v>733</v>
      </c>
      <c r="N37" s="61" t="s">
        <v>179</v>
      </c>
      <c r="O37" s="51"/>
      <c r="P37" s="56">
        <v>0</v>
      </c>
      <c r="Q37" s="56">
        <f t="shared" si="2"/>
        <v>0</v>
      </c>
    </row>
    <row r="38" spans="2:17" ht="19.5" customHeight="1">
      <c r="B38" s="332">
        <v>33</v>
      </c>
      <c r="C38" s="337" t="str">
        <f aca="true" t="shared" si="3" ref="C38:C54">M38</f>
        <v>F4</v>
      </c>
      <c r="D38" s="337">
        <v>31</v>
      </c>
      <c r="E38" s="337" t="s">
        <v>624</v>
      </c>
      <c r="F38" s="337" t="s">
        <v>625</v>
      </c>
      <c r="G38" s="337" t="s">
        <v>183</v>
      </c>
      <c r="H38" s="337">
        <v>0</v>
      </c>
      <c r="I38" s="337" t="s">
        <v>626</v>
      </c>
      <c r="J38" s="337" t="s">
        <v>184</v>
      </c>
      <c r="K38" s="337">
        <v>0</v>
      </c>
      <c r="L38" s="338">
        <f t="shared" si="1"/>
        <v>0</v>
      </c>
      <c r="M38" s="341" t="s">
        <v>729</v>
      </c>
      <c r="N38" s="61" t="s">
        <v>179</v>
      </c>
      <c r="O38" s="51"/>
      <c r="P38" s="56">
        <v>36</v>
      </c>
      <c r="Q38" s="56">
        <f t="shared" si="2"/>
        <v>18</v>
      </c>
    </row>
    <row r="39" spans="2:17" ht="19.5" customHeight="1">
      <c r="B39" s="332">
        <v>34</v>
      </c>
      <c r="C39" s="337" t="str">
        <f t="shared" si="3"/>
        <v>G4</v>
      </c>
      <c r="D39" s="337">
        <v>31</v>
      </c>
      <c r="E39" s="337" t="s">
        <v>627</v>
      </c>
      <c r="F39" s="337" t="s">
        <v>628</v>
      </c>
      <c r="G39" s="340" t="s">
        <v>142</v>
      </c>
      <c r="H39" s="337">
        <v>0</v>
      </c>
      <c r="I39" s="337" t="s">
        <v>629</v>
      </c>
      <c r="J39" s="340" t="s">
        <v>142</v>
      </c>
      <c r="K39" s="337">
        <v>0</v>
      </c>
      <c r="L39" s="338">
        <f t="shared" si="1"/>
        <v>0</v>
      </c>
      <c r="M39" s="341" t="s">
        <v>728</v>
      </c>
      <c r="N39" s="61" t="s">
        <v>179</v>
      </c>
      <c r="O39" s="51"/>
      <c r="P39" s="56">
        <v>36</v>
      </c>
      <c r="Q39" s="56">
        <f t="shared" si="2"/>
        <v>18</v>
      </c>
    </row>
    <row r="40" spans="2:17" ht="19.5" customHeight="1">
      <c r="B40" s="332">
        <v>35</v>
      </c>
      <c r="C40" s="337" t="str">
        <f t="shared" si="3"/>
        <v>G3</v>
      </c>
      <c r="D40" s="337">
        <v>31</v>
      </c>
      <c r="E40" s="337" t="s">
        <v>630</v>
      </c>
      <c r="F40" s="337" t="s">
        <v>631</v>
      </c>
      <c r="G40" s="337" t="s">
        <v>185</v>
      </c>
      <c r="H40" s="337">
        <v>0</v>
      </c>
      <c r="I40" s="337" t="s">
        <v>632</v>
      </c>
      <c r="J40" s="340" t="s">
        <v>142</v>
      </c>
      <c r="K40" s="337">
        <v>0</v>
      </c>
      <c r="L40" s="338">
        <f t="shared" si="1"/>
        <v>0</v>
      </c>
      <c r="M40" s="341" t="s">
        <v>725</v>
      </c>
      <c r="N40" s="61" t="s">
        <v>179</v>
      </c>
      <c r="O40" s="51"/>
      <c r="P40" s="56">
        <v>48</v>
      </c>
      <c r="Q40" s="56">
        <f t="shared" si="2"/>
        <v>24</v>
      </c>
    </row>
    <row r="41" spans="2:17" ht="19.5" customHeight="1">
      <c r="B41" s="332">
        <v>36</v>
      </c>
      <c r="C41" s="337" t="str">
        <f t="shared" si="3"/>
        <v>D4</v>
      </c>
      <c r="D41" s="337">
        <v>31</v>
      </c>
      <c r="E41" s="337" t="s">
        <v>633</v>
      </c>
      <c r="F41" s="337" t="s">
        <v>634</v>
      </c>
      <c r="G41" s="337" t="s">
        <v>186</v>
      </c>
      <c r="H41" s="337">
        <v>0</v>
      </c>
      <c r="I41" s="337" t="s">
        <v>635</v>
      </c>
      <c r="J41" s="340" t="s">
        <v>142</v>
      </c>
      <c r="K41" s="337">
        <v>0</v>
      </c>
      <c r="L41" s="338">
        <f t="shared" si="1"/>
        <v>0</v>
      </c>
      <c r="M41" s="341" t="s">
        <v>731</v>
      </c>
      <c r="N41" s="61" t="s">
        <v>179</v>
      </c>
      <c r="O41" s="51"/>
      <c r="P41" s="56">
        <v>36</v>
      </c>
      <c r="Q41" s="56">
        <f t="shared" si="2"/>
        <v>18</v>
      </c>
    </row>
    <row r="42" spans="2:17" ht="19.5" customHeight="1">
      <c r="B42" s="332">
        <v>37</v>
      </c>
      <c r="C42" s="337" t="str">
        <f t="shared" si="3"/>
        <v>H4</v>
      </c>
      <c r="D42" s="337">
        <v>31</v>
      </c>
      <c r="E42" s="337" t="s">
        <v>636</v>
      </c>
      <c r="F42" s="337" t="s">
        <v>637</v>
      </c>
      <c r="G42" s="337" t="s">
        <v>187</v>
      </c>
      <c r="H42" s="337">
        <v>0</v>
      </c>
      <c r="I42" s="337" t="s">
        <v>638</v>
      </c>
      <c r="J42" s="337" t="s">
        <v>188</v>
      </c>
      <c r="K42" s="337">
        <v>0</v>
      </c>
      <c r="L42" s="338">
        <f t="shared" si="1"/>
        <v>0</v>
      </c>
      <c r="M42" s="341" t="s">
        <v>727</v>
      </c>
      <c r="N42" s="61" t="s">
        <v>179</v>
      </c>
      <c r="O42" s="51"/>
      <c r="P42" s="56">
        <v>48</v>
      </c>
      <c r="Q42" s="56">
        <f t="shared" si="2"/>
        <v>24</v>
      </c>
    </row>
    <row r="43" spans="2:17" ht="19.5" customHeight="1">
      <c r="B43" s="332">
        <v>38</v>
      </c>
      <c r="C43" s="337" t="str">
        <f t="shared" si="3"/>
        <v>C4</v>
      </c>
      <c r="D43" s="337">
        <v>31</v>
      </c>
      <c r="E43" s="337" t="s">
        <v>639</v>
      </c>
      <c r="F43" s="337" t="s">
        <v>640</v>
      </c>
      <c r="G43" s="337" t="s">
        <v>189</v>
      </c>
      <c r="H43" s="337">
        <v>0</v>
      </c>
      <c r="I43" s="337" t="s">
        <v>641</v>
      </c>
      <c r="J43" s="337" t="s">
        <v>190</v>
      </c>
      <c r="K43" s="337">
        <v>0</v>
      </c>
      <c r="L43" s="338">
        <f t="shared" si="1"/>
        <v>0</v>
      </c>
      <c r="M43" s="341" t="s">
        <v>732</v>
      </c>
      <c r="N43" s="61" t="s">
        <v>179</v>
      </c>
      <c r="O43" s="51"/>
      <c r="P43" s="56">
        <v>36</v>
      </c>
      <c r="Q43" s="56">
        <f t="shared" si="2"/>
        <v>18</v>
      </c>
    </row>
    <row r="44" spans="2:17" ht="19.5" customHeight="1">
      <c r="B44" s="332">
        <v>39</v>
      </c>
      <c r="C44" s="337" t="str">
        <f t="shared" si="3"/>
        <v>H3</v>
      </c>
      <c r="D44" s="337">
        <v>31</v>
      </c>
      <c r="E44" s="337" t="s">
        <v>642</v>
      </c>
      <c r="F44" s="337" t="s">
        <v>643</v>
      </c>
      <c r="G44" s="333" t="s">
        <v>191</v>
      </c>
      <c r="H44" s="337">
        <v>0</v>
      </c>
      <c r="I44" s="337" t="s">
        <v>644</v>
      </c>
      <c r="J44" s="340" t="s">
        <v>142</v>
      </c>
      <c r="K44" s="337">
        <v>0</v>
      </c>
      <c r="L44" s="338">
        <f t="shared" si="1"/>
        <v>0</v>
      </c>
      <c r="M44" s="341" t="s">
        <v>726</v>
      </c>
      <c r="N44" s="61" t="s">
        <v>179</v>
      </c>
      <c r="O44" s="51"/>
      <c r="P44" s="56">
        <v>54</v>
      </c>
      <c r="Q44" s="56">
        <f t="shared" si="2"/>
        <v>27</v>
      </c>
    </row>
    <row r="45" spans="2:15" ht="19.5" customHeight="1" hidden="1">
      <c r="B45" s="57">
        <v>40</v>
      </c>
      <c r="C45" s="60" t="str">
        <f t="shared" si="3"/>
        <v>A4</v>
      </c>
      <c r="D45" s="60">
        <v>31</v>
      </c>
      <c r="E45" s="60" t="s">
        <v>192</v>
      </c>
      <c r="F45" s="60"/>
      <c r="G45" s="60"/>
      <c r="H45" s="60"/>
      <c r="I45" s="60"/>
      <c r="J45" s="47" t="e">
        <f>VLOOKUP(I45,#REF!,2,FALSE)</f>
        <v>#REF!</v>
      </c>
      <c r="K45" s="60"/>
      <c r="L45" s="52">
        <f t="shared" si="1"/>
        <v>0</v>
      </c>
      <c r="M45" s="62" t="s">
        <v>193</v>
      </c>
      <c r="N45" s="50"/>
      <c r="O45" s="51"/>
    </row>
    <row r="46" spans="2:15" ht="19.5" customHeight="1" hidden="1">
      <c r="B46" s="57">
        <v>41</v>
      </c>
      <c r="C46" s="60">
        <f t="shared" si="3"/>
        <v>0</v>
      </c>
      <c r="D46" s="60">
        <v>31</v>
      </c>
      <c r="E46" s="60"/>
      <c r="F46" s="60"/>
      <c r="G46" s="60"/>
      <c r="H46" s="60"/>
      <c r="I46" s="60"/>
      <c r="J46" s="47" t="e">
        <f>VLOOKUP(I46,#REF!,2,FALSE)</f>
        <v>#REF!</v>
      </c>
      <c r="K46" s="60"/>
      <c r="L46" s="52">
        <f t="shared" si="1"/>
        <v>0</v>
      </c>
      <c r="M46" s="53"/>
      <c r="N46" s="50"/>
      <c r="O46" s="51"/>
    </row>
    <row r="47" spans="2:15" ht="19.5" customHeight="1" hidden="1">
      <c r="B47" s="57">
        <v>42</v>
      </c>
      <c r="C47" s="60">
        <f t="shared" si="3"/>
        <v>0</v>
      </c>
      <c r="D47" s="60">
        <v>31</v>
      </c>
      <c r="E47" s="60"/>
      <c r="F47" s="60"/>
      <c r="G47" s="60"/>
      <c r="H47" s="60"/>
      <c r="I47" s="60"/>
      <c r="J47" s="47" t="e">
        <f>VLOOKUP(I47,#REF!,2,FALSE)</f>
        <v>#REF!</v>
      </c>
      <c r="K47" s="60"/>
      <c r="L47" s="52">
        <f t="shared" si="1"/>
        <v>0</v>
      </c>
      <c r="M47" s="53"/>
      <c r="N47" s="50"/>
      <c r="O47" s="51"/>
    </row>
    <row r="48" spans="2:15" ht="19.5" customHeight="1" hidden="1">
      <c r="B48" s="57">
        <v>43</v>
      </c>
      <c r="C48" s="60">
        <f t="shared" si="3"/>
        <v>0</v>
      </c>
      <c r="D48" s="60">
        <v>31</v>
      </c>
      <c r="E48" s="60"/>
      <c r="F48" s="60"/>
      <c r="G48" s="60"/>
      <c r="H48" s="60"/>
      <c r="I48" s="60"/>
      <c r="J48" s="47" t="e">
        <f>VLOOKUP(I48,#REF!,2,FALSE)</f>
        <v>#REF!</v>
      </c>
      <c r="K48" s="60"/>
      <c r="L48" s="52">
        <f t="shared" si="1"/>
        <v>0</v>
      </c>
      <c r="M48" s="53"/>
      <c r="N48" s="50"/>
      <c r="O48" s="51"/>
    </row>
    <row r="49" spans="2:15" ht="19.5" customHeight="1" hidden="1">
      <c r="B49" s="57">
        <v>44</v>
      </c>
      <c r="C49" s="60">
        <f t="shared" si="3"/>
        <v>0</v>
      </c>
      <c r="D49" s="60">
        <v>31</v>
      </c>
      <c r="E49" s="60"/>
      <c r="F49" s="60"/>
      <c r="G49" s="60"/>
      <c r="H49" s="60"/>
      <c r="I49" s="60"/>
      <c r="J49" s="47" t="e">
        <f>VLOOKUP(I49,#REF!,2,FALSE)</f>
        <v>#REF!</v>
      </c>
      <c r="K49" s="60"/>
      <c r="L49" s="52">
        <f t="shared" si="1"/>
        <v>0</v>
      </c>
      <c r="M49" s="53"/>
      <c r="N49" s="50"/>
      <c r="O49" s="51"/>
    </row>
    <row r="50" spans="2:15" ht="19.5" customHeight="1" hidden="1">
      <c r="B50" s="57">
        <v>45</v>
      </c>
      <c r="C50" s="60">
        <f t="shared" si="3"/>
        <v>0</v>
      </c>
      <c r="D50" s="60">
        <v>31</v>
      </c>
      <c r="E50" s="60"/>
      <c r="F50" s="60"/>
      <c r="G50" s="60"/>
      <c r="H50" s="60"/>
      <c r="I50" s="60"/>
      <c r="J50" s="47" t="e">
        <f>VLOOKUP(I50,#REF!,2,FALSE)</f>
        <v>#REF!</v>
      </c>
      <c r="K50" s="60"/>
      <c r="L50" s="52"/>
      <c r="M50" s="53"/>
      <c r="N50" s="50"/>
      <c r="O50" s="51"/>
    </row>
    <row r="51" spans="2:15" ht="19.5" customHeight="1" hidden="1">
      <c r="B51" s="57">
        <v>46</v>
      </c>
      <c r="C51" s="60">
        <f t="shared" si="3"/>
        <v>0</v>
      </c>
      <c r="D51" s="60">
        <v>31</v>
      </c>
      <c r="E51" s="60"/>
      <c r="F51" s="60"/>
      <c r="G51" s="60"/>
      <c r="H51" s="60"/>
      <c r="I51" s="60"/>
      <c r="J51" s="47" t="e">
        <f>VLOOKUP(I51,#REF!,2,FALSE)</f>
        <v>#REF!</v>
      </c>
      <c r="K51" s="60"/>
      <c r="L51" s="52"/>
      <c r="M51" s="53"/>
      <c r="N51" s="50"/>
      <c r="O51" s="51"/>
    </row>
    <row r="52" spans="2:15" ht="19.5" customHeight="1" hidden="1">
      <c r="B52" s="57">
        <v>47</v>
      </c>
      <c r="C52" s="60">
        <f t="shared" si="3"/>
        <v>0</v>
      </c>
      <c r="D52" s="60">
        <v>31</v>
      </c>
      <c r="E52" s="60"/>
      <c r="F52" s="60"/>
      <c r="G52" s="60"/>
      <c r="H52" s="60"/>
      <c r="I52" s="60"/>
      <c r="J52" s="47" t="e">
        <f>VLOOKUP(I52,#REF!,2,FALSE)</f>
        <v>#REF!</v>
      </c>
      <c r="K52" s="60"/>
      <c r="L52" s="52"/>
      <c r="M52" s="53"/>
      <c r="N52" s="50"/>
      <c r="O52" s="51"/>
    </row>
    <row r="53" spans="2:15" ht="19.5" customHeight="1" hidden="1">
      <c r="B53" s="57">
        <v>48</v>
      </c>
      <c r="C53" s="60">
        <f t="shared" si="3"/>
        <v>0</v>
      </c>
      <c r="D53" s="60">
        <v>31</v>
      </c>
      <c r="E53" s="60"/>
      <c r="F53" s="60"/>
      <c r="G53" s="60"/>
      <c r="H53" s="60"/>
      <c r="I53" s="60"/>
      <c r="J53" s="47" t="e">
        <f>VLOOKUP(I53,#REF!,2,FALSE)</f>
        <v>#REF!</v>
      </c>
      <c r="K53" s="60"/>
      <c r="L53" s="52"/>
      <c r="M53" s="53"/>
      <c r="N53" s="50"/>
      <c r="O53" s="51"/>
    </row>
    <row r="54" spans="2:15" ht="19.5" customHeight="1" hidden="1">
      <c r="B54" s="57">
        <v>49</v>
      </c>
      <c r="C54" s="60">
        <f t="shared" si="3"/>
        <v>0</v>
      </c>
      <c r="D54" s="60">
        <v>31</v>
      </c>
      <c r="E54" s="60"/>
      <c r="F54" s="60"/>
      <c r="G54" s="60"/>
      <c r="H54" s="60"/>
      <c r="I54" s="60"/>
      <c r="J54" s="47" t="e">
        <f>VLOOKUP(I54,#REF!,2,FALSE)</f>
        <v>#REF!</v>
      </c>
      <c r="K54" s="60"/>
      <c r="L54" s="52"/>
      <c r="M54" s="53"/>
      <c r="N54" s="50"/>
      <c r="O54" s="51"/>
    </row>
    <row r="55" spans="2:15" ht="19.5" customHeight="1" hidden="1">
      <c r="B55" s="57">
        <v>50</v>
      </c>
      <c r="C55" s="60" t="str">
        <f>N55</f>
        <v>A1</v>
      </c>
      <c r="D55" s="60">
        <v>31</v>
      </c>
      <c r="E55" s="60" t="s">
        <v>111</v>
      </c>
      <c r="F55" s="60"/>
      <c r="G55" s="60"/>
      <c r="H55" s="60"/>
      <c r="I55" s="60"/>
      <c r="J55" s="47" t="e">
        <f>VLOOKUP(I55,#REF!,2,FALSE)</f>
        <v>#REF!</v>
      </c>
      <c r="K55" s="60"/>
      <c r="L55" s="52"/>
      <c r="M55" s="53"/>
      <c r="N55" s="61" t="s">
        <v>111</v>
      </c>
      <c r="O55" s="51"/>
    </row>
    <row r="56" spans="2:15" ht="19.5" customHeight="1" hidden="1">
      <c r="B56" s="57">
        <v>51</v>
      </c>
      <c r="C56" s="60" t="str">
        <f>N56</f>
        <v>B1</v>
      </c>
      <c r="D56" s="60">
        <v>31</v>
      </c>
      <c r="E56" s="60" t="s">
        <v>115</v>
      </c>
      <c r="F56" s="60"/>
      <c r="G56" s="60"/>
      <c r="H56" s="60"/>
      <c r="I56" s="60"/>
      <c r="J56" s="47" t="e">
        <f>VLOOKUP(I56,#REF!,2,FALSE)</f>
        <v>#REF!</v>
      </c>
      <c r="K56" s="60"/>
      <c r="L56" s="52"/>
      <c r="M56" s="53" t="s">
        <v>111</v>
      </c>
      <c r="N56" s="61" t="s">
        <v>115</v>
      </c>
      <c r="O56" s="51"/>
    </row>
    <row r="57" spans="2:15" ht="19.5" customHeight="1" hidden="1">
      <c r="B57" s="57">
        <v>52</v>
      </c>
      <c r="C57" s="60" t="str">
        <f aca="true" t="shared" si="4" ref="C57:C101">N57</f>
        <v>C1</v>
      </c>
      <c r="D57" s="60">
        <v>31</v>
      </c>
      <c r="E57" s="60" t="s">
        <v>119</v>
      </c>
      <c r="F57" s="60"/>
      <c r="G57" s="60"/>
      <c r="H57" s="60"/>
      <c r="I57" s="60"/>
      <c r="J57" s="47" t="e">
        <f>VLOOKUP(I57,#REF!,2,FALSE)</f>
        <v>#REF!</v>
      </c>
      <c r="K57" s="60"/>
      <c r="L57" s="52"/>
      <c r="M57" s="53" t="s">
        <v>115</v>
      </c>
      <c r="N57" s="61" t="s">
        <v>119</v>
      </c>
      <c r="O57" s="51"/>
    </row>
    <row r="58" spans="2:15" ht="19.5" customHeight="1" hidden="1">
      <c r="B58" s="57">
        <v>53</v>
      </c>
      <c r="C58" s="60" t="str">
        <f t="shared" si="4"/>
        <v>D1</v>
      </c>
      <c r="D58" s="60">
        <v>31</v>
      </c>
      <c r="E58" s="60" t="s">
        <v>123</v>
      </c>
      <c r="F58" s="60"/>
      <c r="G58" s="60"/>
      <c r="H58" s="60"/>
      <c r="I58" s="60"/>
      <c r="J58" s="47" t="e">
        <f>VLOOKUP(I58,#REF!,2,FALSE)</f>
        <v>#REF!</v>
      </c>
      <c r="K58" s="60"/>
      <c r="L58" s="52"/>
      <c r="M58" s="53" t="s">
        <v>119</v>
      </c>
      <c r="N58" s="61" t="s">
        <v>123</v>
      </c>
      <c r="O58" s="51"/>
    </row>
    <row r="59" spans="2:15" ht="19.5" customHeight="1" hidden="1">
      <c r="B59" s="57">
        <v>54</v>
      </c>
      <c r="C59" s="60" t="str">
        <f t="shared" si="4"/>
        <v>E1</v>
      </c>
      <c r="D59" s="60">
        <v>31</v>
      </c>
      <c r="E59" s="60" t="s">
        <v>126</v>
      </c>
      <c r="F59" s="60"/>
      <c r="G59" s="60"/>
      <c r="H59" s="60"/>
      <c r="I59" s="60"/>
      <c r="J59" s="47" t="e">
        <f>VLOOKUP(I59,#REF!,2,FALSE)</f>
        <v>#REF!</v>
      </c>
      <c r="K59" s="60"/>
      <c r="L59" s="52"/>
      <c r="M59" s="53" t="s">
        <v>123</v>
      </c>
      <c r="N59" s="61" t="s">
        <v>126</v>
      </c>
      <c r="O59" s="51"/>
    </row>
    <row r="60" spans="2:15" ht="19.5" customHeight="1" hidden="1">
      <c r="B60" s="57">
        <v>55</v>
      </c>
      <c r="C60" s="60" t="str">
        <f t="shared" si="4"/>
        <v>F1</v>
      </c>
      <c r="D60" s="60">
        <v>31</v>
      </c>
      <c r="E60" s="60" t="s">
        <v>130</v>
      </c>
      <c r="F60" s="60"/>
      <c r="G60" s="60"/>
      <c r="H60" s="60"/>
      <c r="I60" s="60"/>
      <c r="J60" s="47" t="e">
        <f>VLOOKUP(I60,#REF!,2,FALSE)</f>
        <v>#REF!</v>
      </c>
      <c r="K60" s="60"/>
      <c r="L60" s="52"/>
      <c r="M60" s="53" t="s">
        <v>126</v>
      </c>
      <c r="N60" s="61" t="s">
        <v>130</v>
      </c>
      <c r="O60" s="51"/>
    </row>
    <row r="61" spans="2:15" ht="19.5" customHeight="1" hidden="1">
      <c r="B61" s="57">
        <v>56</v>
      </c>
      <c r="C61" s="60" t="str">
        <f t="shared" si="4"/>
        <v>G1</v>
      </c>
      <c r="D61" s="60">
        <v>31</v>
      </c>
      <c r="E61" s="60" t="s">
        <v>134</v>
      </c>
      <c r="F61" s="60"/>
      <c r="G61" s="60"/>
      <c r="H61" s="60"/>
      <c r="I61" s="60"/>
      <c r="J61" s="47" t="e">
        <f>VLOOKUP(I61,#REF!,2,FALSE)</f>
        <v>#REF!</v>
      </c>
      <c r="K61" s="60"/>
      <c r="L61" s="52"/>
      <c r="M61" s="53" t="s">
        <v>130</v>
      </c>
      <c r="N61" s="61" t="s">
        <v>134</v>
      </c>
      <c r="O61" s="51"/>
    </row>
    <row r="62" spans="2:15" ht="19.5" customHeight="1" hidden="1">
      <c r="B62" s="57">
        <v>57</v>
      </c>
      <c r="C62" s="60" t="str">
        <f t="shared" si="4"/>
        <v>H1</v>
      </c>
      <c r="D62" s="60">
        <v>31</v>
      </c>
      <c r="E62" s="60" t="s">
        <v>137</v>
      </c>
      <c r="F62" s="60"/>
      <c r="G62" s="60"/>
      <c r="H62" s="60"/>
      <c r="I62" s="60"/>
      <c r="J62" s="47" t="e">
        <f>VLOOKUP(I62,#REF!,2,FALSE)</f>
        <v>#REF!</v>
      </c>
      <c r="K62" s="60"/>
      <c r="L62" s="52"/>
      <c r="M62" s="53" t="s">
        <v>134</v>
      </c>
      <c r="N62" s="61" t="s">
        <v>137</v>
      </c>
      <c r="O62" s="51"/>
    </row>
    <row r="63" spans="2:15" ht="19.5" customHeight="1" hidden="1">
      <c r="B63" s="57">
        <v>58</v>
      </c>
      <c r="C63" s="60" t="str">
        <f t="shared" si="4"/>
        <v>A2</v>
      </c>
      <c r="D63" s="60">
        <v>31</v>
      </c>
      <c r="E63" s="60" t="s">
        <v>160</v>
      </c>
      <c r="F63" s="60"/>
      <c r="G63" s="60"/>
      <c r="H63" s="60"/>
      <c r="I63" s="60"/>
      <c r="J63" s="47" t="e">
        <f>VLOOKUP(I63,#REF!,2,FALSE)</f>
        <v>#REF!</v>
      </c>
      <c r="K63" s="60"/>
      <c r="L63" s="52"/>
      <c r="M63" s="53" t="s">
        <v>137</v>
      </c>
      <c r="N63" s="61" t="s">
        <v>160</v>
      </c>
      <c r="O63" s="51"/>
    </row>
    <row r="64" spans="2:15" ht="19.5" customHeight="1" hidden="1">
      <c r="B64" s="57">
        <v>59</v>
      </c>
      <c r="C64" s="60" t="str">
        <f t="shared" si="4"/>
        <v>B2</v>
      </c>
      <c r="D64" s="60">
        <v>31</v>
      </c>
      <c r="E64" s="60" t="s">
        <v>157</v>
      </c>
      <c r="F64" s="60"/>
      <c r="G64" s="60"/>
      <c r="H64" s="60"/>
      <c r="I64" s="60"/>
      <c r="J64" s="47" t="e">
        <f>VLOOKUP(I64,#REF!,2,FALSE)</f>
        <v>#REF!</v>
      </c>
      <c r="K64" s="60"/>
      <c r="L64" s="52"/>
      <c r="M64" s="53" t="s">
        <v>160</v>
      </c>
      <c r="N64" s="61" t="s">
        <v>157</v>
      </c>
      <c r="O64" s="51"/>
    </row>
    <row r="65" spans="2:15" ht="19.5" customHeight="1" hidden="1">
      <c r="B65" s="57">
        <v>60</v>
      </c>
      <c r="C65" s="60" t="str">
        <f t="shared" si="4"/>
        <v>C2</v>
      </c>
      <c r="D65" s="60">
        <v>31</v>
      </c>
      <c r="E65" s="60" t="s">
        <v>194</v>
      </c>
      <c r="F65" s="60"/>
      <c r="G65" s="60"/>
      <c r="H65" s="60"/>
      <c r="I65" s="60"/>
      <c r="J65" s="47" t="e">
        <f>VLOOKUP(I65,#REF!,2,FALSE)</f>
        <v>#REF!</v>
      </c>
      <c r="K65" s="60"/>
      <c r="L65" s="52"/>
      <c r="M65" s="53" t="s">
        <v>157</v>
      </c>
      <c r="N65" s="61" t="s">
        <v>194</v>
      </c>
      <c r="O65" s="51"/>
    </row>
    <row r="66" spans="2:15" ht="19.5" customHeight="1" hidden="1">
      <c r="B66" s="57">
        <v>61</v>
      </c>
      <c r="C66" s="60" t="str">
        <f t="shared" si="4"/>
        <v>D2</v>
      </c>
      <c r="D66" s="60">
        <v>31</v>
      </c>
      <c r="E66" s="60" t="s">
        <v>195</v>
      </c>
      <c r="F66" s="60"/>
      <c r="G66" s="60"/>
      <c r="H66" s="60"/>
      <c r="I66" s="60"/>
      <c r="J66" s="47" t="e">
        <f>VLOOKUP(I66,#REF!,2,FALSE)</f>
        <v>#REF!</v>
      </c>
      <c r="K66" s="60"/>
      <c r="L66" s="52"/>
      <c r="M66" s="53" t="s">
        <v>194</v>
      </c>
      <c r="N66" s="61" t="s">
        <v>195</v>
      </c>
      <c r="O66" s="51"/>
    </row>
    <row r="67" spans="2:15" ht="19.5" customHeight="1" hidden="1">
      <c r="B67" s="57">
        <v>62</v>
      </c>
      <c r="C67" s="60" t="str">
        <f t="shared" si="4"/>
        <v>E2</v>
      </c>
      <c r="D67" s="60">
        <v>31</v>
      </c>
      <c r="E67" s="60" t="s">
        <v>149</v>
      </c>
      <c r="F67" s="60"/>
      <c r="G67" s="60"/>
      <c r="H67" s="60"/>
      <c r="I67" s="60"/>
      <c r="J67" s="47" t="e">
        <f>VLOOKUP(I67,#REF!,2,FALSE)</f>
        <v>#REF!</v>
      </c>
      <c r="K67" s="60"/>
      <c r="L67" s="52"/>
      <c r="M67" s="53" t="s">
        <v>195</v>
      </c>
      <c r="N67" s="61" t="s">
        <v>149</v>
      </c>
      <c r="O67" s="51"/>
    </row>
    <row r="68" spans="2:15" ht="19.5" customHeight="1" hidden="1">
      <c r="B68" s="57">
        <v>63</v>
      </c>
      <c r="C68" s="60" t="str">
        <f t="shared" si="4"/>
        <v>F2</v>
      </c>
      <c r="D68" s="60">
        <v>31</v>
      </c>
      <c r="E68" s="60" t="s">
        <v>146</v>
      </c>
      <c r="F68" s="60"/>
      <c r="G68" s="60"/>
      <c r="H68" s="60"/>
      <c r="I68" s="60"/>
      <c r="J68" s="47" t="e">
        <f>VLOOKUP(I68,#REF!,2,FALSE)</f>
        <v>#REF!</v>
      </c>
      <c r="K68" s="60"/>
      <c r="L68" s="52"/>
      <c r="M68" s="53" t="s">
        <v>149</v>
      </c>
      <c r="N68" s="61" t="s">
        <v>146</v>
      </c>
      <c r="O68" s="51"/>
    </row>
    <row r="69" spans="2:15" ht="19.5" customHeight="1" hidden="1">
      <c r="B69" s="57">
        <v>64</v>
      </c>
      <c r="C69" s="60" t="str">
        <f t="shared" si="4"/>
        <v>G2</v>
      </c>
      <c r="D69" s="60">
        <v>31</v>
      </c>
      <c r="E69" s="60" t="s">
        <v>143</v>
      </c>
      <c r="F69" s="60"/>
      <c r="G69" s="60"/>
      <c r="H69" s="60"/>
      <c r="I69" s="60"/>
      <c r="J69" s="47" t="e">
        <f>VLOOKUP(I69,#REF!,2,FALSE)</f>
        <v>#REF!</v>
      </c>
      <c r="K69" s="60"/>
      <c r="L69" s="52"/>
      <c r="M69" s="53" t="s">
        <v>146</v>
      </c>
      <c r="N69" s="61" t="s">
        <v>143</v>
      </c>
      <c r="O69" s="51"/>
    </row>
    <row r="70" spans="2:15" ht="19.5" customHeight="1" hidden="1">
      <c r="B70" s="57">
        <v>65</v>
      </c>
      <c r="C70" s="60" t="str">
        <f t="shared" si="4"/>
        <v>H2</v>
      </c>
      <c r="D70" s="60">
        <v>31</v>
      </c>
      <c r="E70" s="60" t="s">
        <v>140</v>
      </c>
      <c r="F70" s="60"/>
      <c r="G70" s="60"/>
      <c r="H70" s="60"/>
      <c r="I70" s="60"/>
      <c r="J70" s="47" t="e">
        <f>VLOOKUP(I70,#REF!,2,FALSE)</f>
        <v>#REF!</v>
      </c>
      <c r="K70" s="60"/>
      <c r="L70" s="52"/>
      <c r="M70" s="53" t="s">
        <v>143</v>
      </c>
      <c r="N70" s="61" t="s">
        <v>140</v>
      </c>
      <c r="O70" s="51"/>
    </row>
    <row r="71" spans="2:15" ht="19.5" customHeight="1" hidden="1">
      <c r="B71" s="57">
        <v>66</v>
      </c>
      <c r="C71" s="60" t="str">
        <f t="shared" si="4"/>
        <v>A3</v>
      </c>
      <c r="D71" s="60">
        <v>31</v>
      </c>
      <c r="E71" s="60" t="s">
        <v>196</v>
      </c>
      <c r="F71" s="60"/>
      <c r="G71" s="60"/>
      <c r="H71" s="60"/>
      <c r="I71" s="60"/>
      <c r="J71" s="47" t="e">
        <f>VLOOKUP(I71,#REF!,2,FALSE)</f>
        <v>#REF!</v>
      </c>
      <c r="K71" s="60"/>
      <c r="L71" s="52"/>
      <c r="M71" s="53" t="s">
        <v>140</v>
      </c>
      <c r="N71" s="61" t="s">
        <v>196</v>
      </c>
      <c r="O71" s="51"/>
    </row>
    <row r="72" spans="2:15" ht="19.5" customHeight="1" hidden="1">
      <c r="B72" s="57">
        <v>67</v>
      </c>
      <c r="C72" s="60" t="str">
        <f t="shared" si="4"/>
        <v>B3</v>
      </c>
      <c r="D72" s="60">
        <v>31</v>
      </c>
      <c r="E72" s="60" t="s">
        <v>197</v>
      </c>
      <c r="F72" s="60"/>
      <c r="G72" s="60"/>
      <c r="H72" s="60"/>
      <c r="I72" s="60"/>
      <c r="J72" s="47" t="e">
        <f>VLOOKUP(I72,#REF!,2,FALSE)</f>
        <v>#REF!</v>
      </c>
      <c r="K72" s="60"/>
      <c r="L72" s="52"/>
      <c r="M72" s="53" t="s">
        <v>196</v>
      </c>
      <c r="N72" s="61" t="s">
        <v>197</v>
      </c>
      <c r="O72" s="51"/>
    </row>
    <row r="73" spans="2:15" ht="19.5" customHeight="1" hidden="1">
      <c r="B73" s="57">
        <v>68</v>
      </c>
      <c r="C73" s="60" t="str">
        <f t="shared" si="4"/>
        <v>C3</v>
      </c>
      <c r="D73" s="60">
        <v>31</v>
      </c>
      <c r="E73" s="60" t="s">
        <v>168</v>
      </c>
      <c r="F73" s="60"/>
      <c r="G73" s="60"/>
      <c r="H73" s="60"/>
      <c r="I73" s="60"/>
      <c r="J73" s="47" t="e">
        <f>VLOOKUP(I73,#REF!,2,FALSE)</f>
        <v>#REF!</v>
      </c>
      <c r="K73" s="60"/>
      <c r="L73" s="52"/>
      <c r="M73" s="53" t="s">
        <v>197</v>
      </c>
      <c r="N73" s="61" t="s">
        <v>168</v>
      </c>
      <c r="O73" s="51"/>
    </row>
    <row r="74" spans="2:15" ht="19.5" customHeight="1" hidden="1">
      <c r="B74" s="57">
        <v>69</v>
      </c>
      <c r="C74" s="60" t="str">
        <f t="shared" si="4"/>
        <v>D3</v>
      </c>
      <c r="D74" s="60">
        <v>31</v>
      </c>
      <c r="E74" s="60" t="s">
        <v>171</v>
      </c>
      <c r="F74" s="60"/>
      <c r="G74" s="60"/>
      <c r="H74" s="60"/>
      <c r="I74" s="60"/>
      <c r="J74" s="47" t="e">
        <f>VLOOKUP(I74,#REF!,2,FALSE)</f>
        <v>#REF!</v>
      </c>
      <c r="K74" s="60"/>
      <c r="L74" s="52"/>
      <c r="M74" s="53" t="s">
        <v>168</v>
      </c>
      <c r="N74" s="61" t="s">
        <v>171</v>
      </c>
      <c r="O74" s="51"/>
    </row>
    <row r="75" spans="2:15" ht="19.5" customHeight="1" hidden="1">
      <c r="B75" s="57">
        <v>70</v>
      </c>
      <c r="C75" s="60" t="str">
        <f t="shared" si="4"/>
        <v>E3</v>
      </c>
      <c r="D75" s="60">
        <v>31</v>
      </c>
      <c r="E75" s="60" t="s">
        <v>198</v>
      </c>
      <c r="F75" s="60"/>
      <c r="G75" s="60"/>
      <c r="H75" s="60"/>
      <c r="I75" s="60"/>
      <c r="J75" s="47" t="e">
        <f>VLOOKUP(I75,#REF!,2,FALSE)</f>
        <v>#REF!</v>
      </c>
      <c r="K75" s="60"/>
      <c r="L75" s="52"/>
      <c r="M75" s="53" t="s">
        <v>171</v>
      </c>
      <c r="N75" s="61" t="s">
        <v>198</v>
      </c>
      <c r="O75" s="51"/>
    </row>
    <row r="76" spans="2:15" ht="19.5" customHeight="1" hidden="1">
      <c r="B76" s="57">
        <v>71</v>
      </c>
      <c r="C76" s="60" t="str">
        <f t="shared" si="4"/>
        <v>F3</v>
      </c>
      <c r="D76" s="60">
        <v>31</v>
      </c>
      <c r="E76" s="60" t="s">
        <v>199</v>
      </c>
      <c r="F76" s="60"/>
      <c r="G76" s="60"/>
      <c r="H76" s="60"/>
      <c r="I76" s="60"/>
      <c r="J76" s="47" t="e">
        <f>VLOOKUP(I76,#REF!,2,FALSE)</f>
        <v>#REF!</v>
      </c>
      <c r="K76" s="60"/>
      <c r="L76" s="52"/>
      <c r="M76" s="53" t="s">
        <v>198</v>
      </c>
      <c r="N76" s="61" t="s">
        <v>199</v>
      </c>
      <c r="O76" s="51"/>
    </row>
    <row r="77" spans="2:15" ht="19.5" customHeight="1" hidden="1">
      <c r="B77" s="57">
        <v>72</v>
      </c>
      <c r="C77" s="60" t="str">
        <f t="shared" si="4"/>
        <v>G3</v>
      </c>
      <c r="D77" s="60">
        <v>31</v>
      </c>
      <c r="E77" s="60" t="s">
        <v>200</v>
      </c>
      <c r="F77" s="60"/>
      <c r="G77" s="60"/>
      <c r="H77" s="60"/>
      <c r="I77" s="60"/>
      <c r="J77" s="47" t="e">
        <f>VLOOKUP(I77,#REF!,2,FALSE)</f>
        <v>#REF!</v>
      </c>
      <c r="K77" s="60"/>
      <c r="L77" s="52"/>
      <c r="M77" s="53" t="s">
        <v>199</v>
      </c>
      <c r="N77" s="61" t="s">
        <v>200</v>
      </c>
      <c r="O77" s="51"/>
    </row>
    <row r="78" spans="2:15" ht="19.5" customHeight="1" hidden="1">
      <c r="B78" s="57">
        <v>73</v>
      </c>
      <c r="C78" s="60" t="str">
        <f t="shared" si="4"/>
        <v>H3</v>
      </c>
      <c r="D78" s="60">
        <v>31</v>
      </c>
      <c r="E78" s="60" t="s">
        <v>201</v>
      </c>
      <c r="F78" s="60"/>
      <c r="G78" s="60"/>
      <c r="H78" s="60"/>
      <c r="I78" s="60"/>
      <c r="J78" s="47" t="e">
        <f>VLOOKUP(I78,#REF!,2,FALSE)</f>
        <v>#REF!</v>
      </c>
      <c r="K78" s="60"/>
      <c r="L78" s="52"/>
      <c r="M78" s="53" t="s">
        <v>200</v>
      </c>
      <c r="N78" s="61" t="s">
        <v>201</v>
      </c>
      <c r="O78" s="51"/>
    </row>
    <row r="79" spans="2:15" ht="19.5" customHeight="1" hidden="1">
      <c r="B79" s="57">
        <v>74</v>
      </c>
      <c r="C79" s="60" t="s">
        <v>193</v>
      </c>
      <c r="D79" s="60" t="s">
        <v>193</v>
      </c>
      <c r="E79" s="60" t="s">
        <v>193</v>
      </c>
      <c r="F79" s="60"/>
      <c r="G79" s="60"/>
      <c r="H79" s="60"/>
      <c r="I79" s="60"/>
      <c r="J79" s="47" t="e">
        <f>VLOOKUP(I79,#REF!,2,FALSE)</f>
        <v>#REF!</v>
      </c>
      <c r="K79" s="60"/>
      <c r="L79" s="52"/>
      <c r="M79" s="53" t="s">
        <v>201</v>
      </c>
      <c r="N79" s="61" t="s">
        <v>202</v>
      </c>
      <c r="O79" s="51"/>
    </row>
    <row r="80" spans="2:15" ht="19.5" customHeight="1" hidden="1">
      <c r="B80" s="57">
        <v>75</v>
      </c>
      <c r="C80" s="60" t="s">
        <v>203</v>
      </c>
      <c r="D80" s="60" t="s">
        <v>203</v>
      </c>
      <c r="E80" s="60" t="s">
        <v>203</v>
      </c>
      <c r="F80" s="60"/>
      <c r="G80" s="60"/>
      <c r="H80" s="60"/>
      <c r="I80" s="60"/>
      <c r="J80" s="47" t="e">
        <f>VLOOKUP(I80,#REF!,2,FALSE)</f>
        <v>#REF!</v>
      </c>
      <c r="K80" s="60"/>
      <c r="L80" s="52"/>
      <c r="M80" s="53" t="s">
        <v>193</v>
      </c>
      <c r="N80" s="61" t="s">
        <v>204</v>
      </c>
      <c r="O80" s="51"/>
    </row>
    <row r="81" spans="2:15" ht="19.5" customHeight="1" hidden="1">
      <c r="B81" s="57">
        <v>76</v>
      </c>
      <c r="C81" s="60" t="s">
        <v>205</v>
      </c>
      <c r="D81" s="60" t="s">
        <v>205</v>
      </c>
      <c r="E81" s="60" t="s">
        <v>205</v>
      </c>
      <c r="F81" s="60"/>
      <c r="G81" s="60"/>
      <c r="H81" s="60"/>
      <c r="I81" s="60"/>
      <c r="J81" s="47" t="e">
        <f>VLOOKUP(I81,#REF!,2,FALSE)</f>
        <v>#REF!</v>
      </c>
      <c r="K81" s="60"/>
      <c r="L81" s="52"/>
      <c r="M81" s="53" t="s">
        <v>203</v>
      </c>
      <c r="N81" s="61" t="s">
        <v>206</v>
      </c>
      <c r="O81" s="51"/>
    </row>
    <row r="82" spans="2:15" ht="19.5" customHeight="1" hidden="1">
      <c r="B82" s="57">
        <v>77</v>
      </c>
      <c r="C82" s="60" t="s">
        <v>207</v>
      </c>
      <c r="D82" s="60" t="s">
        <v>207</v>
      </c>
      <c r="E82" s="60" t="s">
        <v>207</v>
      </c>
      <c r="F82" s="60"/>
      <c r="G82" s="60"/>
      <c r="H82" s="60"/>
      <c r="I82" s="60"/>
      <c r="J82" s="47" t="e">
        <f>VLOOKUP(I82,#REF!,2,FALSE)</f>
        <v>#REF!</v>
      </c>
      <c r="K82" s="60"/>
      <c r="L82" s="52"/>
      <c r="M82" s="53" t="s">
        <v>205</v>
      </c>
      <c r="N82" s="61" t="s">
        <v>208</v>
      </c>
      <c r="O82" s="51"/>
    </row>
    <row r="83" spans="2:15" ht="19.5" customHeight="1" hidden="1">
      <c r="B83" s="57">
        <v>78</v>
      </c>
      <c r="C83" s="60" t="s">
        <v>209</v>
      </c>
      <c r="D83" s="60" t="s">
        <v>209</v>
      </c>
      <c r="E83" s="60" t="s">
        <v>209</v>
      </c>
      <c r="F83" s="60"/>
      <c r="G83" s="60"/>
      <c r="H83" s="60"/>
      <c r="I83" s="60"/>
      <c r="J83" s="47" t="e">
        <f>VLOOKUP(I83,#REF!,2,FALSE)</f>
        <v>#REF!</v>
      </c>
      <c r="K83" s="60"/>
      <c r="L83" s="52"/>
      <c r="M83" s="53" t="s">
        <v>207</v>
      </c>
      <c r="N83" s="61" t="s">
        <v>210</v>
      </c>
      <c r="O83" s="51"/>
    </row>
    <row r="84" spans="2:15" ht="19.5" customHeight="1" hidden="1">
      <c r="B84" s="57">
        <v>79</v>
      </c>
      <c r="C84" s="60" t="s">
        <v>211</v>
      </c>
      <c r="D84" s="60" t="s">
        <v>211</v>
      </c>
      <c r="E84" s="60" t="s">
        <v>211</v>
      </c>
      <c r="F84" s="60"/>
      <c r="G84" s="60"/>
      <c r="H84" s="60"/>
      <c r="I84" s="60"/>
      <c r="J84" s="47" t="e">
        <f>VLOOKUP(I84,#REF!,2,FALSE)</f>
        <v>#REF!</v>
      </c>
      <c r="K84" s="60"/>
      <c r="L84" s="52"/>
      <c r="M84" s="53" t="s">
        <v>209</v>
      </c>
      <c r="N84" s="61" t="s">
        <v>212</v>
      </c>
      <c r="O84" s="51"/>
    </row>
    <row r="85" spans="2:15" ht="19.5" customHeight="1" hidden="1">
      <c r="B85" s="57">
        <v>80</v>
      </c>
      <c r="C85" s="60" t="s">
        <v>213</v>
      </c>
      <c r="D85" s="60" t="s">
        <v>213</v>
      </c>
      <c r="E85" s="60" t="s">
        <v>213</v>
      </c>
      <c r="F85" s="60"/>
      <c r="G85" s="60"/>
      <c r="H85" s="60"/>
      <c r="I85" s="60"/>
      <c r="J85" s="47" t="e">
        <f>VLOOKUP(I85,#REF!,2,FALSE)</f>
        <v>#REF!</v>
      </c>
      <c r="K85" s="60"/>
      <c r="L85" s="52"/>
      <c r="M85" s="53" t="s">
        <v>211</v>
      </c>
      <c r="N85" s="61" t="s">
        <v>214</v>
      </c>
      <c r="O85" s="51"/>
    </row>
    <row r="86" spans="2:15" ht="19.5" customHeight="1" hidden="1">
      <c r="B86" s="57">
        <v>81</v>
      </c>
      <c r="C86" s="60" t="s">
        <v>215</v>
      </c>
      <c r="D86" s="60" t="s">
        <v>215</v>
      </c>
      <c r="E86" s="60" t="s">
        <v>215</v>
      </c>
      <c r="F86" s="60"/>
      <c r="G86" s="60"/>
      <c r="H86" s="60"/>
      <c r="I86" s="60"/>
      <c r="J86" s="47" t="e">
        <f>VLOOKUP(I86,#REF!,2,FALSE)</f>
        <v>#REF!</v>
      </c>
      <c r="K86" s="60"/>
      <c r="L86" s="52"/>
      <c r="M86" s="53" t="s">
        <v>213</v>
      </c>
      <c r="N86" s="61" t="s">
        <v>216</v>
      </c>
      <c r="O86" s="51"/>
    </row>
    <row r="87" spans="2:15" ht="19.5" customHeight="1" hidden="1">
      <c r="B87" s="57">
        <v>82</v>
      </c>
      <c r="C87" s="60" t="str">
        <f t="shared" si="4"/>
        <v>I2</v>
      </c>
      <c r="D87" s="60">
        <v>31</v>
      </c>
      <c r="E87" s="60"/>
      <c r="F87" s="60"/>
      <c r="G87" s="60"/>
      <c r="H87" s="60"/>
      <c r="I87" s="60"/>
      <c r="J87" s="47" t="e">
        <f>VLOOKUP(I87,#REF!,2,FALSE)</f>
        <v>#REF!</v>
      </c>
      <c r="K87" s="60"/>
      <c r="L87" s="52"/>
      <c r="M87" s="53" t="s">
        <v>215</v>
      </c>
      <c r="N87" s="61" t="s">
        <v>217</v>
      </c>
      <c r="O87" s="51"/>
    </row>
    <row r="88" spans="2:15" ht="19.5" customHeight="1" hidden="1">
      <c r="B88" s="57">
        <v>83</v>
      </c>
      <c r="C88" s="60" t="str">
        <f t="shared" si="4"/>
        <v>J2</v>
      </c>
      <c r="D88" s="60">
        <v>31</v>
      </c>
      <c r="E88" s="60"/>
      <c r="F88" s="60"/>
      <c r="G88" s="60"/>
      <c r="H88" s="60"/>
      <c r="I88" s="60"/>
      <c r="J88" s="47" t="e">
        <f>VLOOKUP(I88,#REF!,2,FALSE)</f>
        <v>#REF!</v>
      </c>
      <c r="K88" s="60"/>
      <c r="L88" s="52"/>
      <c r="M88" s="53"/>
      <c r="N88" s="61" t="s">
        <v>218</v>
      </c>
      <c r="O88" s="51"/>
    </row>
    <row r="89" spans="2:15" ht="19.5" customHeight="1" hidden="1">
      <c r="B89" s="57">
        <v>84</v>
      </c>
      <c r="C89" s="60" t="str">
        <f t="shared" si="4"/>
        <v>K2</v>
      </c>
      <c r="D89" s="60">
        <v>31</v>
      </c>
      <c r="E89" s="60"/>
      <c r="F89" s="60"/>
      <c r="G89" s="60"/>
      <c r="H89" s="60"/>
      <c r="I89" s="60"/>
      <c r="J89" s="47" t="e">
        <f>VLOOKUP(I89,#REF!,2,FALSE)</f>
        <v>#REF!</v>
      </c>
      <c r="K89" s="60"/>
      <c r="L89" s="52"/>
      <c r="M89" s="53"/>
      <c r="N89" s="61" t="s">
        <v>219</v>
      </c>
      <c r="O89" s="51"/>
    </row>
    <row r="90" spans="2:15" ht="19.5" customHeight="1" hidden="1">
      <c r="B90" s="57">
        <v>85</v>
      </c>
      <c r="C90" s="60" t="str">
        <f t="shared" si="4"/>
        <v>L2</v>
      </c>
      <c r="D90" s="60">
        <v>31</v>
      </c>
      <c r="E90" s="60"/>
      <c r="F90" s="60"/>
      <c r="G90" s="60"/>
      <c r="H90" s="60"/>
      <c r="I90" s="60"/>
      <c r="J90" s="47" t="e">
        <f>VLOOKUP(I90,#REF!,2,FALSE)</f>
        <v>#REF!</v>
      </c>
      <c r="K90" s="60"/>
      <c r="L90" s="52"/>
      <c r="M90" s="53"/>
      <c r="N90" s="61" t="s">
        <v>220</v>
      </c>
      <c r="O90" s="51"/>
    </row>
    <row r="91" spans="2:15" ht="19.5" customHeight="1" hidden="1">
      <c r="B91" s="57">
        <v>86</v>
      </c>
      <c r="C91" s="60" t="str">
        <f t="shared" si="4"/>
        <v>M2</v>
      </c>
      <c r="D91" s="60">
        <v>31</v>
      </c>
      <c r="E91" s="60"/>
      <c r="F91" s="60"/>
      <c r="G91" s="60"/>
      <c r="H91" s="60"/>
      <c r="I91" s="60"/>
      <c r="J91" s="47" t="e">
        <f>VLOOKUP(I91,#REF!,2,FALSE)</f>
        <v>#REF!</v>
      </c>
      <c r="K91" s="60"/>
      <c r="L91" s="52"/>
      <c r="M91" s="53"/>
      <c r="N91" s="61" t="s">
        <v>221</v>
      </c>
      <c r="O91" s="51"/>
    </row>
    <row r="92" spans="2:15" ht="19.5" customHeight="1" hidden="1">
      <c r="B92" s="57">
        <v>87</v>
      </c>
      <c r="C92" s="60" t="str">
        <f t="shared" si="4"/>
        <v>N2</v>
      </c>
      <c r="D92" s="60">
        <v>31</v>
      </c>
      <c r="E92" s="60"/>
      <c r="F92" s="60"/>
      <c r="G92" s="60"/>
      <c r="H92" s="60"/>
      <c r="I92" s="60"/>
      <c r="J92" s="47" t="e">
        <f>VLOOKUP(I92,#REF!,2,FALSE)</f>
        <v>#REF!</v>
      </c>
      <c r="K92" s="60"/>
      <c r="L92" s="52"/>
      <c r="M92" s="53"/>
      <c r="N92" s="61" t="s">
        <v>222</v>
      </c>
      <c r="O92" s="51"/>
    </row>
    <row r="93" spans="2:15" ht="19.5" customHeight="1" hidden="1">
      <c r="B93" s="57">
        <v>88</v>
      </c>
      <c r="C93" s="60" t="str">
        <f t="shared" si="4"/>
        <v>O2</v>
      </c>
      <c r="D93" s="60">
        <v>31</v>
      </c>
      <c r="E93" s="60"/>
      <c r="F93" s="60"/>
      <c r="G93" s="60"/>
      <c r="H93" s="60"/>
      <c r="I93" s="60"/>
      <c r="J93" s="47" t="e">
        <f>VLOOKUP(I93,#REF!,2,FALSE)</f>
        <v>#REF!</v>
      </c>
      <c r="K93" s="60"/>
      <c r="L93" s="52"/>
      <c r="M93" s="53"/>
      <c r="N93" s="61" t="s">
        <v>223</v>
      </c>
      <c r="O93" s="51"/>
    </row>
    <row r="94" spans="2:15" ht="19.5" customHeight="1" hidden="1">
      <c r="B94" s="57">
        <v>89</v>
      </c>
      <c r="C94" s="60" t="str">
        <f t="shared" si="4"/>
        <v>P2</v>
      </c>
      <c r="D94" s="60">
        <v>31</v>
      </c>
      <c r="E94" s="60"/>
      <c r="F94" s="60"/>
      <c r="G94" s="60"/>
      <c r="H94" s="60"/>
      <c r="I94" s="60"/>
      <c r="J94" s="47" t="e">
        <f>VLOOKUP(I94,#REF!,2,FALSE)</f>
        <v>#REF!</v>
      </c>
      <c r="K94" s="60"/>
      <c r="L94" s="52"/>
      <c r="M94" s="53"/>
      <c r="N94" s="61" t="s">
        <v>224</v>
      </c>
      <c r="O94" s="51"/>
    </row>
    <row r="95" spans="2:15" ht="19.5" customHeight="1" hidden="1">
      <c r="B95" s="57">
        <v>90</v>
      </c>
      <c r="C95" s="60" t="str">
        <f t="shared" si="4"/>
        <v>P3</v>
      </c>
      <c r="D95" s="60">
        <v>31</v>
      </c>
      <c r="E95" s="60"/>
      <c r="F95" s="60"/>
      <c r="G95" s="60"/>
      <c r="H95" s="60"/>
      <c r="I95" s="60"/>
      <c r="J95" s="47" t="e">
        <f>VLOOKUP(I95,#REF!,2,FALSE)</f>
        <v>#REF!</v>
      </c>
      <c r="K95" s="60"/>
      <c r="L95" s="52"/>
      <c r="M95" s="53"/>
      <c r="N95" s="61" t="s">
        <v>225</v>
      </c>
      <c r="O95" s="51"/>
    </row>
    <row r="96" spans="2:15" ht="19.5" customHeight="1" hidden="1">
      <c r="B96" s="57">
        <v>91</v>
      </c>
      <c r="C96" s="60" t="str">
        <f t="shared" si="4"/>
        <v>O3</v>
      </c>
      <c r="D96" s="60">
        <v>31</v>
      </c>
      <c r="E96" s="60"/>
      <c r="F96" s="60"/>
      <c r="G96" s="60"/>
      <c r="H96" s="60"/>
      <c r="I96" s="60"/>
      <c r="J96" s="47" t="e">
        <f>VLOOKUP(I96,#REF!,2,FALSE)</f>
        <v>#REF!</v>
      </c>
      <c r="K96" s="60"/>
      <c r="L96" s="52"/>
      <c r="M96" s="53"/>
      <c r="N96" s="61" t="s">
        <v>226</v>
      </c>
      <c r="O96" s="51"/>
    </row>
    <row r="97" spans="2:15" ht="19.5" customHeight="1" hidden="1">
      <c r="B97" s="57">
        <v>92</v>
      </c>
      <c r="C97" s="60" t="str">
        <f t="shared" si="4"/>
        <v>N3</v>
      </c>
      <c r="D97" s="60">
        <v>31</v>
      </c>
      <c r="E97" s="60"/>
      <c r="F97" s="60"/>
      <c r="G97" s="60"/>
      <c r="H97" s="60"/>
      <c r="I97" s="60"/>
      <c r="J97" s="47" t="e">
        <f>VLOOKUP(I97,#REF!,2,FALSE)</f>
        <v>#REF!</v>
      </c>
      <c r="K97" s="60"/>
      <c r="L97" s="52"/>
      <c r="M97" s="53"/>
      <c r="N97" s="61" t="s">
        <v>227</v>
      </c>
      <c r="O97" s="51"/>
    </row>
    <row r="98" spans="2:15" ht="19.5" customHeight="1" hidden="1">
      <c r="B98" s="57">
        <v>93</v>
      </c>
      <c r="C98" s="60" t="str">
        <f t="shared" si="4"/>
        <v>M3</v>
      </c>
      <c r="D98" s="60">
        <v>31</v>
      </c>
      <c r="E98" s="60"/>
      <c r="F98" s="60"/>
      <c r="G98" s="60"/>
      <c r="H98" s="60"/>
      <c r="I98" s="60"/>
      <c r="J98" s="47" t="e">
        <f>VLOOKUP(I98,#REF!,2,FALSE)</f>
        <v>#REF!</v>
      </c>
      <c r="K98" s="60"/>
      <c r="L98" s="52"/>
      <c r="M98" s="53"/>
      <c r="N98" s="61" t="s">
        <v>228</v>
      </c>
      <c r="O98" s="51"/>
    </row>
    <row r="99" spans="2:15" ht="19.5" customHeight="1" hidden="1">
      <c r="B99" s="57">
        <v>94</v>
      </c>
      <c r="C99" s="60" t="str">
        <f t="shared" si="4"/>
        <v>L3</v>
      </c>
      <c r="D99" s="60">
        <v>31</v>
      </c>
      <c r="E99" s="60"/>
      <c r="F99" s="60"/>
      <c r="G99" s="60"/>
      <c r="H99" s="60"/>
      <c r="I99" s="60"/>
      <c r="J99" s="47" t="e">
        <f>VLOOKUP(I99,#REF!,2,FALSE)</f>
        <v>#REF!</v>
      </c>
      <c r="K99" s="60"/>
      <c r="L99" s="52"/>
      <c r="M99" s="53"/>
      <c r="N99" s="61" t="s">
        <v>229</v>
      </c>
      <c r="O99" s="51"/>
    </row>
    <row r="100" spans="2:15" ht="19.5" customHeight="1" hidden="1">
      <c r="B100" s="57">
        <v>95</v>
      </c>
      <c r="C100" s="60" t="str">
        <f t="shared" si="4"/>
        <v>K3</v>
      </c>
      <c r="D100" s="60">
        <v>31</v>
      </c>
      <c r="E100" s="60"/>
      <c r="F100" s="60"/>
      <c r="G100" s="60"/>
      <c r="H100" s="60"/>
      <c r="I100" s="60"/>
      <c r="J100" s="47" t="e">
        <f>VLOOKUP(I100,#REF!,2,FALSE)</f>
        <v>#REF!</v>
      </c>
      <c r="K100" s="60"/>
      <c r="L100" s="52"/>
      <c r="M100" s="53"/>
      <c r="N100" s="61" t="s">
        <v>230</v>
      </c>
      <c r="O100" s="51"/>
    </row>
    <row r="101" spans="2:15" ht="19.5" customHeight="1" hidden="1">
      <c r="B101" s="57">
        <v>96</v>
      </c>
      <c r="C101" s="60" t="str">
        <f t="shared" si="4"/>
        <v>J3</v>
      </c>
      <c r="D101" s="60">
        <v>31</v>
      </c>
      <c r="E101" s="60"/>
      <c r="F101" s="60"/>
      <c r="G101" s="60"/>
      <c r="H101" s="60"/>
      <c r="I101" s="60"/>
      <c r="J101" s="47" t="e">
        <f>VLOOKUP(I101,#REF!,2,FALSE)</f>
        <v>#REF!</v>
      </c>
      <c r="K101" s="60"/>
      <c r="L101" s="52"/>
      <c r="M101" s="53"/>
      <c r="N101" s="61" t="s">
        <v>231</v>
      </c>
      <c r="O101" s="51"/>
    </row>
    <row r="102" spans="2:15" ht="19.5" customHeight="1" hidden="1">
      <c r="B102" s="57">
        <v>97</v>
      </c>
      <c r="C102" s="60" t="str">
        <f>N102</f>
        <v>I3</v>
      </c>
      <c r="D102" s="60">
        <v>31</v>
      </c>
      <c r="E102" s="60"/>
      <c r="F102" s="60"/>
      <c r="G102" s="60"/>
      <c r="H102" s="60"/>
      <c r="I102" s="60"/>
      <c r="J102" s="47" t="e">
        <f>VLOOKUP(I102,#REF!,2,FALSE)</f>
        <v>#REF!</v>
      </c>
      <c r="K102" s="60"/>
      <c r="L102" s="52"/>
      <c r="M102" s="53"/>
      <c r="N102" s="61" t="s">
        <v>232</v>
      </c>
      <c r="O102" s="51"/>
    </row>
    <row r="103" ht="21">
      <c r="B103" s="63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zoomScale="70" zoomScaleNormal="70" zoomScalePageLayoutView="0" workbookViewId="0" topLeftCell="A11">
      <selection activeCell="J45" sqref="J45"/>
    </sheetView>
  </sheetViews>
  <sheetFormatPr defaultColWidth="9.00390625" defaultRowHeight="16.5"/>
  <cols>
    <col min="1" max="1" width="0.37109375" style="470" customWidth="1"/>
    <col min="2" max="2" width="18.625" style="470" customWidth="1"/>
    <col min="3" max="3" width="18.125" style="470" customWidth="1"/>
    <col min="4" max="4" width="18.625" style="470" customWidth="1"/>
    <col min="5" max="5" width="16.00390625" style="470" customWidth="1"/>
    <col min="6" max="6" width="23.00390625" style="470" customWidth="1"/>
    <col min="7" max="8" width="16.00390625" style="470" customWidth="1"/>
    <col min="9" max="11" width="12.50390625" style="470" customWidth="1"/>
    <col min="12" max="16384" width="9.00390625" style="470" customWidth="1"/>
  </cols>
  <sheetData>
    <row r="1" spans="3:5" ht="15.75">
      <c r="C1" s="468" t="s">
        <v>752</v>
      </c>
      <c r="D1" s="469"/>
      <c r="E1" s="469"/>
    </row>
    <row r="2" spans="3:5" ht="15.75">
      <c r="C2" s="468"/>
      <c r="D2" s="469"/>
      <c r="E2" s="469"/>
    </row>
    <row r="3" spans="3:5" ht="15.75">
      <c r="C3" s="468" t="s">
        <v>753</v>
      </c>
      <c r="D3" s="469"/>
      <c r="E3" s="469"/>
    </row>
    <row r="4" spans="3:5" ht="15.75">
      <c r="C4" s="468" t="s">
        <v>754</v>
      </c>
      <c r="D4" s="469"/>
      <c r="E4" s="469"/>
    </row>
    <row r="5" spans="3:5" ht="15.75">
      <c r="C5" s="468" t="s">
        <v>755</v>
      </c>
      <c r="D5" s="469"/>
      <c r="E5" s="469"/>
    </row>
    <row r="6" spans="3:5" ht="15.75" hidden="1">
      <c r="C6" s="468" t="s">
        <v>756</v>
      </c>
      <c r="D6" s="469"/>
      <c r="E6" s="469"/>
    </row>
    <row r="7" spans="3:5" ht="15.75">
      <c r="C7" s="471" t="s">
        <v>237</v>
      </c>
      <c r="D7" s="472" t="s">
        <v>238</v>
      </c>
      <c r="E7" s="473"/>
    </row>
    <row r="8" spans="3:5" ht="15.75">
      <c r="C8" s="474" t="s">
        <v>239</v>
      </c>
      <c r="D8" s="475" t="s">
        <v>240</v>
      </c>
      <c r="E8" s="473"/>
    </row>
    <row r="9" spans="3:5" ht="15.75">
      <c r="C9" s="471" t="s">
        <v>241</v>
      </c>
      <c r="D9" s="475" t="s">
        <v>242</v>
      </c>
      <c r="E9" s="473"/>
    </row>
    <row r="10" spans="3:5" ht="15.75">
      <c r="C10" s="471" t="s">
        <v>243</v>
      </c>
      <c r="D10" s="475" t="s">
        <v>244</v>
      </c>
      <c r="E10" s="473"/>
    </row>
    <row r="11" spans="3:5" ht="15.75">
      <c r="C11" s="474" t="s">
        <v>245</v>
      </c>
      <c r="D11" s="474" t="s">
        <v>246</v>
      </c>
      <c r="E11" s="473"/>
    </row>
    <row r="12" spans="3:5" ht="15.75" hidden="1">
      <c r="C12" s="468" t="s">
        <v>748</v>
      </c>
      <c r="D12" s="474" t="s">
        <v>245</v>
      </c>
      <c r="E12" s="473"/>
    </row>
    <row r="13" spans="3:5" ht="15.75" hidden="1">
      <c r="C13" s="468" t="s">
        <v>749</v>
      </c>
      <c r="D13" s="474" t="s">
        <v>249</v>
      </c>
      <c r="E13" s="473"/>
    </row>
    <row r="14" spans="3:5" ht="15.75" hidden="1">
      <c r="C14" s="468" t="s">
        <v>750</v>
      </c>
      <c r="D14" s="474" t="s">
        <v>251</v>
      </c>
      <c r="E14" s="473"/>
    </row>
    <row r="15" spans="3:5" ht="15.75" hidden="1">
      <c r="C15" s="468" t="s">
        <v>751</v>
      </c>
      <c r="D15" s="474" t="s">
        <v>253</v>
      </c>
      <c r="E15" s="473"/>
    </row>
    <row r="16" ht="15.75">
      <c r="C16" s="476" t="s">
        <v>757</v>
      </c>
    </row>
    <row r="17" ht="15.75">
      <c r="C17" s="476" t="s">
        <v>758</v>
      </c>
    </row>
    <row r="18" ht="15.75">
      <c r="C18" s="468"/>
    </row>
    <row r="19" ht="15.75">
      <c r="C19" s="468" t="s">
        <v>759</v>
      </c>
    </row>
    <row r="20" spans="3:6" ht="15.75">
      <c r="C20" s="468"/>
      <c r="D20" s="477"/>
      <c r="E20" s="477"/>
      <c r="F20" s="477"/>
    </row>
    <row r="21" spans="3:7" ht="15.75">
      <c r="C21" s="478"/>
      <c r="D21" s="89"/>
      <c r="E21" s="89"/>
      <c r="F21" s="89"/>
      <c r="G21" s="89"/>
    </row>
    <row r="22" spans="2:7" ht="15.75">
      <c r="B22" s="479" t="str">
        <f>'男甲賽程'!R6</f>
        <v>2R</v>
      </c>
      <c r="C22" s="76" t="s">
        <v>65</v>
      </c>
      <c r="D22" s="89"/>
      <c r="E22" s="480"/>
      <c r="F22" s="89"/>
      <c r="G22" s="89"/>
    </row>
    <row r="23" spans="3:7" ht="15.75">
      <c r="C23" s="78" t="s">
        <v>257</v>
      </c>
      <c r="D23" s="481"/>
      <c r="E23" s="479" t="str">
        <f>B26</f>
        <v>SCAA LM</v>
      </c>
      <c r="F23" s="89"/>
      <c r="G23" s="482"/>
    </row>
    <row r="24" spans="3:7" ht="15.75">
      <c r="C24" s="573" t="s">
        <v>792</v>
      </c>
      <c r="D24" s="500"/>
      <c r="E24" s="498"/>
      <c r="F24" s="89"/>
      <c r="G24" s="482"/>
    </row>
    <row r="25" spans="3:7" ht="15.75">
      <c r="C25" s="483"/>
      <c r="D25" s="499"/>
      <c r="E25" s="501"/>
      <c r="F25" s="89"/>
      <c r="G25" s="89"/>
    </row>
    <row r="26" spans="2:7" ht="15.75">
      <c r="B26" s="479" t="str">
        <f>'男甲賽程'!R14</f>
        <v>SCAA LM</v>
      </c>
      <c r="C26" s="81" t="s">
        <v>77</v>
      </c>
      <c r="D26" s="484"/>
      <c r="E26" s="485"/>
      <c r="F26" s="89"/>
      <c r="G26" s="484"/>
    </row>
    <row r="27" spans="3:7" ht="15.75">
      <c r="C27" s="480"/>
      <c r="D27" s="486"/>
      <c r="E27" s="487"/>
      <c r="F27" s="486"/>
      <c r="G27" s="488"/>
    </row>
    <row r="28" spans="3:7" ht="15.75">
      <c r="C28" s="89"/>
      <c r="D28" s="489"/>
      <c r="E28" s="573" t="s">
        <v>919</v>
      </c>
      <c r="F28" s="88" t="s">
        <v>258</v>
      </c>
      <c r="G28" s="490" t="str">
        <f>E33</f>
        <v>SCAA LL</v>
      </c>
    </row>
    <row r="29" spans="3:7" ht="15.75">
      <c r="C29" s="478"/>
      <c r="D29" s="89"/>
      <c r="E29" s="487"/>
      <c r="F29" s="89" t="s">
        <v>259</v>
      </c>
      <c r="G29" s="484"/>
    </row>
    <row r="30" spans="2:7" ht="15.75">
      <c r="B30" s="479" t="str">
        <f>'男甲賽程'!R7</f>
        <v>Alps SB</v>
      </c>
      <c r="C30" s="76" t="s">
        <v>83</v>
      </c>
      <c r="D30" s="89"/>
      <c r="E30" s="487"/>
      <c r="F30" s="89"/>
      <c r="G30" s="89"/>
    </row>
    <row r="31" spans="3:7" ht="15.75">
      <c r="C31" s="78" t="s">
        <v>260</v>
      </c>
      <c r="E31" s="502"/>
      <c r="F31" s="89"/>
      <c r="G31" s="482"/>
    </row>
    <row r="32" spans="3:7" ht="15.75">
      <c r="C32" s="573" t="s">
        <v>793</v>
      </c>
      <c r="D32" s="491"/>
      <c r="E32" s="81"/>
      <c r="F32" s="89"/>
      <c r="G32" s="482"/>
    </row>
    <row r="33" spans="3:7" ht="15.75">
      <c r="C33" s="492"/>
      <c r="D33" s="89"/>
      <c r="E33" s="479" t="str">
        <f>B34</f>
        <v>SCAA LL</v>
      </c>
      <c r="F33" s="89"/>
      <c r="G33" s="89"/>
    </row>
    <row r="34" spans="2:7" ht="15.75">
      <c r="B34" s="479" t="str">
        <f>'男甲賽程'!R13</f>
        <v>SCAA LL</v>
      </c>
      <c r="C34" s="81" t="s">
        <v>71</v>
      </c>
      <c r="D34" s="89"/>
      <c r="E34" s="480"/>
      <c r="F34" s="482"/>
      <c r="G34" s="89"/>
    </row>
    <row r="35" spans="3:10" ht="15.75">
      <c r="C35" s="480"/>
      <c r="D35" s="477"/>
      <c r="E35" s="477"/>
      <c r="G35" s="477"/>
      <c r="H35" s="477"/>
      <c r="I35" s="477"/>
      <c r="J35" s="477"/>
    </row>
    <row r="36" spans="3:6" ht="15.75">
      <c r="C36" s="477"/>
      <c r="D36" s="486"/>
      <c r="E36" s="493"/>
      <c r="F36" s="478"/>
    </row>
    <row r="37" spans="5:6" ht="15.75">
      <c r="E37" s="479" t="str">
        <f>B22</f>
        <v>2R</v>
      </c>
      <c r="F37" s="494"/>
    </row>
    <row r="38" ht="15.75">
      <c r="F38" s="494"/>
    </row>
    <row r="39" spans="2:6" ht="15.75">
      <c r="B39" s="93" t="s">
        <v>261</v>
      </c>
      <c r="C39" s="94" t="s">
        <v>262</v>
      </c>
      <c r="E39" s="212"/>
      <c r="F39" s="78" t="s">
        <v>265</v>
      </c>
    </row>
    <row r="40" spans="2:7" ht="15.75">
      <c r="B40" s="93" t="s">
        <v>263</v>
      </c>
      <c r="C40" s="94" t="s">
        <v>264</v>
      </c>
      <c r="E40" s="212"/>
      <c r="F40" s="503" t="s">
        <v>268</v>
      </c>
      <c r="G40" s="574" t="str">
        <f>E44</f>
        <v>Alps SB</v>
      </c>
    </row>
    <row r="41" spans="2:7" ht="15.75">
      <c r="B41" s="93" t="s">
        <v>266</v>
      </c>
      <c r="C41" s="94" t="s">
        <v>267</v>
      </c>
      <c r="E41" s="212"/>
      <c r="F41" s="572" t="s">
        <v>794</v>
      </c>
      <c r="G41" s="496"/>
    </row>
    <row r="42" spans="2:6" ht="15.75">
      <c r="B42" s="93" t="s">
        <v>269</v>
      </c>
      <c r="C42" s="94" t="s">
        <v>270</v>
      </c>
      <c r="E42" s="212"/>
      <c r="F42" s="495"/>
    </row>
    <row r="43" spans="5:6" ht="15.75">
      <c r="E43" s="212"/>
      <c r="F43" s="495"/>
    </row>
    <row r="44" spans="5:6" ht="15.75">
      <c r="E44" s="479" t="str">
        <f>B30</f>
        <v>Alps SB</v>
      </c>
      <c r="F44" s="497"/>
    </row>
    <row r="45" ht="15.75">
      <c r="F45" s="214"/>
    </row>
    <row r="49" ht="15.75">
      <c r="G49" s="477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zoomScalePageLayoutView="0" workbookViewId="0" topLeftCell="B1">
      <selection activeCell="W5" sqref="W5"/>
    </sheetView>
  </sheetViews>
  <sheetFormatPr defaultColWidth="9.00390625" defaultRowHeight="16.5"/>
  <cols>
    <col min="1" max="1" width="0" style="100" hidden="1" customWidth="1"/>
    <col min="2" max="2" width="9.50390625" style="100" customWidth="1"/>
    <col min="3" max="3" width="7.875" style="100" customWidth="1"/>
    <col min="4" max="4" width="10.125" style="100" customWidth="1"/>
    <col min="5" max="5" width="15.625" style="100" customWidth="1"/>
    <col min="6" max="6" width="5.125" style="100" customWidth="1"/>
    <col min="7" max="7" width="15.875" style="100" customWidth="1"/>
    <col min="8" max="8" width="20.00390625" style="100" customWidth="1"/>
    <col min="9" max="9" width="3.125" style="100" customWidth="1"/>
    <col min="10" max="10" width="18.375" style="100" customWidth="1"/>
    <col min="11" max="14" width="9.00390625" style="101" customWidth="1"/>
    <col min="15" max="15" width="16.875" style="100" customWidth="1"/>
    <col min="16" max="16" width="14.50390625" style="100" customWidth="1"/>
    <col min="17" max="17" width="9.00390625" style="100" customWidth="1"/>
    <col min="18" max="18" width="14.625" style="100" customWidth="1"/>
    <col min="19" max="22" width="9.00390625" style="100" customWidth="1"/>
    <col min="23" max="23" width="9.00390625" style="347" customWidth="1"/>
    <col min="24" max="16384" width="9.00390625" style="100" customWidth="1"/>
  </cols>
  <sheetData>
    <row r="1" spans="2:8" ht="25.5">
      <c r="B1" s="102" t="s">
        <v>271</v>
      </c>
      <c r="C1" s="103"/>
      <c r="D1" s="103"/>
      <c r="E1" s="104"/>
      <c r="G1" s="101"/>
      <c r="H1" s="105"/>
    </row>
    <row r="2" spans="2:8" ht="25.5">
      <c r="B2" s="106" t="s">
        <v>272</v>
      </c>
      <c r="C2" s="103"/>
      <c r="D2" s="103"/>
      <c r="E2" s="104"/>
      <c r="G2" s="101"/>
      <c r="H2" s="105"/>
    </row>
    <row r="3" spans="4:14" ht="19.5">
      <c r="D3" s="107"/>
      <c r="E3" s="101"/>
      <c r="F3" s="101"/>
      <c r="G3" s="108"/>
      <c r="H3" s="615" t="s">
        <v>273</v>
      </c>
      <c r="I3" s="615"/>
      <c r="J3" s="615"/>
      <c r="K3" s="109" t="s">
        <v>274</v>
      </c>
      <c r="L3" s="109" t="s">
        <v>275</v>
      </c>
      <c r="M3" s="109" t="s">
        <v>275</v>
      </c>
      <c r="N3" s="109" t="s">
        <v>274</v>
      </c>
    </row>
    <row r="4" spans="1:14" ht="16.5">
      <c r="A4" s="110" t="s">
        <v>276</v>
      </c>
      <c r="B4" s="111" t="s">
        <v>277</v>
      </c>
      <c r="C4" s="111" t="s">
        <v>278</v>
      </c>
      <c r="D4" s="112" t="s">
        <v>279</v>
      </c>
      <c r="E4" s="111"/>
      <c r="F4" s="111" t="s">
        <v>280</v>
      </c>
      <c r="G4" s="111"/>
      <c r="H4" s="113" t="s">
        <v>281</v>
      </c>
      <c r="I4" s="114"/>
      <c r="J4" s="113" t="s">
        <v>282</v>
      </c>
      <c r="K4" s="111"/>
      <c r="L4" s="111"/>
      <c r="M4" s="113"/>
      <c r="N4" s="460"/>
    </row>
    <row r="5" spans="1:23" ht="16.5" customHeight="1">
      <c r="A5" s="115" t="s">
        <v>283</v>
      </c>
      <c r="B5" s="116" t="s">
        <v>284</v>
      </c>
      <c r="C5" s="117" t="s">
        <v>285</v>
      </c>
      <c r="D5" s="118" t="s">
        <v>277</v>
      </c>
      <c r="E5" s="117"/>
      <c r="F5" s="117" t="s">
        <v>273</v>
      </c>
      <c r="G5" s="117"/>
      <c r="H5" s="119" t="s">
        <v>47</v>
      </c>
      <c r="I5" s="120"/>
      <c r="J5" s="119" t="s">
        <v>47</v>
      </c>
      <c r="K5" s="111"/>
      <c r="L5" s="111"/>
      <c r="M5" s="113"/>
      <c r="N5" s="460"/>
      <c r="Q5" s="121" t="s">
        <v>286</v>
      </c>
      <c r="R5" s="122" t="s">
        <v>46</v>
      </c>
      <c r="S5" s="122" t="s">
        <v>287</v>
      </c>
      <c r="T5" s="122" t="s">
        <v>288</v>
      </c>
      <c r="U5" s="122" t="s">
        <v>57</v>
      </c>
      <c r="W5" s="347" t="s">
        <v>653</v>
      </c>
    </row>
    <row r="6" spans="1:21" ht="16.5">
      <c r="A6" s="123" t="e">
        <f>IF(#REF!&lt;&gt;#REF!,#REF!,"")</f>
        <v>#REF!</v>
      </c>
      <c r="B6" s="124">
        <v>1</v>
      </c>
      <c r="C6" s="125" t="s">
        <v>237</v>
      </c>
      <c r="D6" s="126">
        <v>1</v>
      </c>
      <c r="E6" s="127" t="s">
        <v>65</v>
      </c>
      <c r="F6" s="128" t="s">
        <v>289</v>
      </c>
      <c r="G6" s="129" t="s">
        <v>107</v>
      </c>
      <c r="H6" s="130" t="str">
        <f>VLOOKUP(E6,MD!$C$6:$K$54,3,FALSE)</f>
        <v>2R</v>
      </c>
      <c r="I6" s="130" t="s">
        <v>289</v>
      </c>
      <c r="J6" s="130" t="str">
        <f>VLOOKUP(G6,MD!$C$6:$K$54,3,FALSE)</f>
        <v>SA</v>
      </c>
      <c r="K6" s="111">
        <v>2</v>
      </c>
      <c r="L6" s="111">
        <f>22+21</f>
        <v>43</v>
      </c>
      <c r="M6" s="113">
        <f>21+12</f>
        <v>33</v>
      </c>
      <c r="N6" s="460">
        <v>0</v>
      </c>
      <c r="O6" s="461" t="s">
        <v>736</v>
      </c>
      <c r="Q6" s="462">
        <v>1</v>
      </c>
      <c r="R6" s="463" t="s">
        <v>60</v>
      </c>
      <c r="S6" s="463">
        <v>3</v>
      </c>
      <c r="T6" s="463">
        <v>0</v>
      </c>
      <c r="U6" s="463">
        <f>S6*3+T6*0</f>
        <v>9</v>
      </c>
    </row>
    <row r="7" spans="1:21" ht="16.5">
      <c r="A7" s="131" t="e">
        <f>IF(#REF!&lt;&gt;#REF!,#REF!,"")</f>
        <v>#REF!</v>
      </c>
      <c r="B7" s="132">
        <v>2</v>
      </c>
      <c r="C7" s="125" t="s">
        <v>237</v>
      </c>
      <c r="D7" s="126">
        <v>2</v>
      </c>
      <c r="E7" s="119" t="s">
        <v>83</v>
      </c>
      <c r="F7" s="128" t="s">
        <v>289</v>
      </c>
      <c r="G7" s="133" t="s">
        <v>89</v>
      </c>
      <c r="H7" s="130" t="str">
        <f>VLOOKUP(E7,MD!$C$6:$K$54,3,FALSE)</f>
        <v>Alps SB</v>
      </c>
      <c r="I7" s="130" t="s">
        <v>289</v>
      </c>
      <c r="J7" s="130" t="str">
        <f>VLOOKUP(G7,MD!$C$6:$K$54,3,FALSE)</f>
        <v>DR Chan</v>
      </c>
      <c r="K7" s="111">
        <v>2</v>
      </c>
      <c r="L7" s="111">
        <f>24+21</f>
        <v>45</v>
      </c>
      <c r="M7" s="113">
        <f>22+9</f>
        <v>31</v>
      </c>
      <c r="N7" s="460">
        <v>0</v>
      </c>
      <c r="O7" s="461" t="s">
        <v>737</v>
      </c>
      <c r="Q7" s="462">
        <v>2</v>
      </c>
      <c r="R7" s="463" t="s">
        <v>78</v>
      </c>
      <c r="S7" s="463">
        <v>2</v>
      </c>
      <c r="T7" s="463">
        <v>1</v>
      </c>
      <c r="U7" s="463">
        <f>S7*3+T7*0</f>
        <v>6</v>
      </c>
    </row>
    <row r="8" spans="1:21" ht="16.5">
      <c r="A8" s="131" t="e">
        <f>IF(#REF!&lt;&gt;#REF!,#REF!,"")</f>
        <v>#REF!</v>
      </c>
      <c r="B8" s="124">
        <v>3</v>
      </c>
      <c r="C8" s="125" t="s">
        <v>237</v>
      </c>
      <c r="D8" s="126">
        <v>3</v>
      </c>
      <c r="E8" s="119" t="s">
        <v>65</v>
      </c>
      <c r="F8" s="128" t="s">
        <v>289</v>
      </c>
      <c r="G8" s="133" t="s">
        <v>89</v>
      </c>
      <c r="H8" s="130" t="str">
        <f>VLOOKUP(E8,MD!$C$6:$K$54,3,FALSE)</f>
        <v>2R</v>
      </c>
      <c r="I8" s="130" t="s">
        <v>289</v>
      </c>
      <c r="J8" s="130" t="str">
        <f>VLOOKUP(G8,MD!$C$6:$K$54,3,FALSE)</f>
        <v>DR Chan</v>
      </c>
      <c r="K8" s="111">
        <v>2</v>
      </c>
      <c r="L8" s="111">
        <f>24+21</f>
        <v>45</v>
      </c>
      <c r="M8" s="113">
        <f>22+17</f>
        <v>39</v>
      </c>
      <c r="N8" s="460">
        <v>0</v>
      </c>
      <c r="O8" s="461" t="s">
        <v>738</v>
      </c>
      <c r="Q8" s="462">
        <v>3</v>
      </c>
      <c r="R8" s="463" t="s">
        <v>102</v>
      </c>
      <c r="S8" s="463">
        <v>1</v>
      </c>
      <c r="T8" s="463">
        <v>2</v>
      </c>
      <c r="U8" s="463">
        <f>S8*3+T8*0</f>
        <v>3</v>
      </c>
    </row>
    <row r="9" spans="1:21" ht="16.5">
      <c r="A9" s="131" t="e">
        <f>IF(#REF!&lt;&gt;#REF!,#REF!,"")</f>
        <v>#REF!</v>
      </c>
      <c r="B9" s="132">
        <v>4</v>
      </c>
      <c r="C9" s="125" t="s">
        <v>237</v>
      </c>
      <c r="D9" s="126">
        <v>4</v>
      </c>
      <c r="E9" s="119" t="s">
        <v>83</v>
      </c>
      <c r="F9" s="128" t="s">
        <v>289</v>
      </c>
      <c r="G9" s="133" t="s">
        <v>107</v>
      </c>
      <c r="H9" s="130" t="str">
        <f>VLOOKUP(E9,MD!$C$6:$K$54,3,FALSE)</f>
        <v>Alps SB</v>
      </c>
      <c r="I9" s="130" t="s">
        <v>289</v>
      </c>
      <c r="J9" s="130" t="str">
        <f>VLOOKUP(G9,MD!$C$6:$K$54,3,FALSE)</f>
        <v>SA</v>
      </c>
      <c r="K9" s="111">
        <v>2</v>
      </c>
      <c r="L9" s="111">
        <f>21+21</f>
        <v>42</v>
      </c>
      <c r="M9" s="113">
        <f>19+14</f>
        <v>33</v>
      </c>
      <c r="N9" s="460">
        <v>0</v>
      </c>
      <c r="O9" s="461" t="s">
        <v>739</v>
      </c>
      <c r="Q9" s="462">
        <v>4</v>
      </c>
      <c r="R9" s="463" t="s">
        <v>742</v>
      </c>
      <c r="S9" s="463">
        <v>0</v>
      </c>
      <c r="T9" s="463">
        <v>3</v>
      </c>
      <c r="U9" s="463">
        <f>S9*3+T9*0</f>
        <v>0</v>
      </c>
    </row>
    <row r="10" spans="1:15" ht="16.5">
      <c r="A10" s="131" t="e">
        <f>IF(#REF!&lt;&gt;#REF!,#REF!,"")</f>
        <v>#REF!</v>
      </c>
      <c r="B10" s="124">
        <v>5</v>
      </c>
      <c r="C10" s="125" t="s">
        <v>237</v>
      </c>
      <c r="D10" s="126">
        <v>5</v>
      </c>
      <c r="E10" s="119" t="s">
        <v>89</v>
      </c>
      <c r="F10" s="128" t="s">
        <v>289</v>
      </c>
      <c r="G10" s="133" t="s">
        <v>107</v>
      </c>
      <c r="H10" s="130" t="str">
        <f>VLOOKUP(E10,MD!$C$6:$K$54,3,FALSE)</f>
        <v>DR Chan</v>
      </c>
      <c r="I10" s="130" t="s">
        <v>289</v>
      </c>
      <c r="J10" s="130" t="str">
        <f>VLOOKUP(G10,MD!$C$6:$K$54,3,FALSE)</f>
        <v>SA</v>
      </c>
      <c r="K10" s="111">
        <v>0</v>
      </c>
      <c r="L10" s="111">
        <f>17+19</f>
        <v>36</v>
      </c>
      <c r="M10" s="113">
        <f>21+21</f>
        <v>42</v>
      </c>
      <c r="N10" s="460">
        <v>2</v>
      </c>
      <c r="O10" s="461" t="s">
        <v>740</v>
      </c>
    </row>
    <row r="11" spans="1:15" ht="16.5">
      <c r="A11" s="131"/>
      <c r="B11" s="132">
        <v>6</v>
      </c>
      <c r="C11" s="134" t="s">
        <v>237</v>
      </c>
      <c r="D11" s="135">
        <v>6</v>
      </c>
      <c r="E11" s="136" t="s">
        <v>65</v>
      </c>
      <c r="F11" s="137" t="s">
        <v>289</v>
      </c>
      <c r="G11" s="138" t="s">
        <v>83</v>
      </c>
      <c r="H11" s="130" t="str">
        <f>VLOOKUP(E11,MD!$C$6:$K$54,3,FALSE)</f>
        <v>2R</v>
      </c>
      <c r="I11" s="130" t="s">
        <v>289</v>
      </c>
      <c r="J11" s="130" t="str">
        <f>VLOOKUP(G11,MD!$C$6:$K$54,3,FALSE)</f>
        <v>Alps SB</v>
      </c>
      <c r="K11" s="111">
        <v>2</v>
      </c>
      <c r="L11" s="111">
        <f>21+21</f>
        <v>42</v>
      </c>
      <c r="M11" s="113">
        <f>15+12</f>
        <v>27</v>
      </c>
      <c r="N11" s="460">
        <v>0</v>
      </c>
      <c r="O11" s="461" t="s">
        <v>741</v>
      </c>
    </row>
    <row r="12" spans="1:21" ht="16.5">
      <c r="A12" s="131"/>
      <c r="B12" s="124">
        <v>7</v>
      </c>
      <c r="C12" s="125" t="s">
        <v>238</v>
      </c>
      <c r="D12" s="139">
        <v>1</v>
      </c>
      <c r="E12" s="140" t="s">
        <v>71</v>
      </c>
      <c r="F12" s="141" t="s">
        <v>289</v>
      </c>
      <c r="G12" s="142" t="s">
        <v>101</v>
      </c>
      <c r="H12" s="130" t="str">
        <f>VLOOKUP(E12,MD!$C$6:$K$54,3,FALSE)</f>
        <v>SCAA LL</v>
      </c>
      <c r="I12" s="130" t="s">
        <v>289</v>
      </c>
      <c r="J12" s="130" t="str">
        <f>VLOOKUP(G12,MD!$C$6:$K$54,3,FALSE)</f>
        <v>Alps CAUTION</v>
      </c>
      <c r="K12" s="111">
        <v>2</v>
      </c>
      <c r="L12" s="111">
        <f>21+21</f>
        <v>42</v>
      </c>
      <c r="M12" s="113">
        <f>13+19</f>
        <v>32</v>
      </c>
      <c r="N12" s="460">
        <v>0</v>
      </c>
      <c r="O12" s="461" t="s">
        <v>743</v>
      </c>
      <c r="Q12" s="121" t="s">
        <v>286</v>
      </c>
      <c r="R12" s="104"/>
      <c r="S12" s="122" t="s">
        <v>287</v>
      </c>
      <c r="T12" s="122" t="s">
        <v>288</v>
      </c>
      <c r="U12" s="122" t="s">
        <v>57</v>
      </c>
    </row>
    <row r="13" spans="1:21" ht="16.5">
      <c r="A13" s="131"/>
      <c r="B13" s="132">
        <v>8</v>
      </c>
      <c r="C13" s="143" t="s">
        <v>238</v>
      </c>
      <c r="D13" s="144">
        <v>2</v>
      </c>
      <c r="E13" s="119" t="s">
        <v>77</v>
      </c>
      <c r="F13" s="128" t="s">
        <v>289</v>
      </c>
      <c r="G13" s="133" t="s">
        <v>95</v>
      </c>
      <c r="H13" s="130" t="str">
        <f>VLOOKUP(E13,MD!$C$6:$K$54,3,FALSE)</f>
        <v>ALPS YK</v>
      </c>
      <c r="I13" s="130" t="s">
        <v>289</v>
      </c>
      <c r="J13" s="130" t="str">
        <f>VLOOKUP(G13,MD!$C$6:$K$54,3,FALSE)</f>
        <v>SCAA LM</v>
      </c>
      <c r="K13" s="111">
        <v>0</v>
      </c>
      <c r="L13" s="111">
        <f>16+18</f>
        <v>34</v>
      </c>
      <c r="M13" s="113">
        <f>21+21</f>
        <v>42</v>
      </c>
      <c r="N13" s="460">
        <v>2</v>
      </c>
      <c r="O13" s="461" t="s">
        <v>744</v>
      </c>
      <c r="Q13" s="462">
        <v>1</v>
      </c>
      <c r="R13" s="463" t="s">
        <v>66</v>
      </c>
      <c r="S13" s="463">
        <v>3</v>
      </c>
      <c r="T13" s="463">
        <v>0</v>
      </c>
      <c r="U13" s="463">
        <f>S13*3+T13*0</f>
        <v>9</v>
      </c>
    </row>
    <row r="14" spans="1:21" ht="16.5">
      <c r="A14" s="131"/>
      <c r="B14" s="124">
        <v>9</v>
      </c>
      <c r="C14" s="143" t="s">
        <v>238</v>
      </c>
      <c r="D14" s="144">
        <v>3</v>
      </c>
      <c r="E14" s="119" t="s">
        <v>71</v>
      </c>
      <c r="F14" s="128" t="s">
        <v>289</v>
      </c>
      <c r="G14" s="133" t="s">
        <v>95</v>
      </c>
      <c r="H14" s="130" t="str">
        <f>VLOOKUP(E14,MD!$C$6:$K$54,3,FALSE)</f>
        <v>SCAA LL</v>
      </c>
      <c r="I14" s="130" t="s">
        <v>289</v>
      </c>
      <c r="J14" s="130" t="str">
        <f>VLOOKUP(G14,MD!$C$6:$K$54,3,FALSE)</f>
        <v>SCAA LM</v>
      </c>
      <c r="K14" s="111">
        <v>2</v>
      </c>
      <c r="L14" s="111">
        <f>21+21</f>
        <v>42</v>
      </c>
      <c r="M14" s="113">
        <f>18+16</f>
        <v>34</v>
      </c>
      <c r="N14" s="460">
        <v>0</v>
      </c>
      <c r="O14" s="461" t="s">
        <v>745</v>
      </c>
      <c r="Q14" s="462">
        <v>2</v>
      </c>
      <c r="R14" s="463" t="s">
        <v>90</v>
      </c>
      <c r="S14" s="463">
        <v>2</v>
      </c>
      <c r="T14" s="463">
        <v>1</v>
      </c>
      <c r="U14" s="463">
        <f>S14*3+T14*0</f>
        <v>6</v>
      </c>
    </row>
    <row r="15" spans="1:21" ht="16.5">
      <c r="A15" s="131"/>
      <c r="B15" s="132">
        <v>10</v>
      </c>
      <c r="C15" s="143" t="s">
        <v>238</v>
      </c>
      <c r="D15" s="144">
        <v>4</v>
      </c>
      <c r="E15" s="119" t="s">
        <v>77</v>
      </c>
      <c r="F15" s="128" t="s">
        <v>289</v>
      </c>
      <c r="G15" s="133" t="s">
        <v>101</v>
      </c>
      <c r="H15" s="130" t="str">
        <f>VLOOKUP(E15,MD!$C$6:$K$54,3,FALSE)</f>
        <v>ALPS YK</v>
      </c>
      <c r="I15" s="130" t="s">
        <v>289</v>
      </c>
      <c r="J15" s="130" t="str">
        <f>VLOOKUP(G15,MD!$C$6:$K$54,3,FALSE)</f>
        <v>Alps CAUTION</v>
      </c>
      <c r="K15" s="111">
        <v>2</v>
      </c>
      <c r="L15" s="111">
        <f>21+21</f>
        <v>42</v>
      </c>
      <c r="M15" s="113">
        <f>13+19</f>
        <v>32</v>
      </c>
      <c r="N15" s="460">
        <v>0</v>
      </c>
      <c r="O15" s="461" t="s">
        <v>743</v>
      </c>
      <c r="Q15" s="462">
        <v>3</v>
      </c>
      <c r="R15" s="463" t="s">
        <v>72</v>
      </c>
      <c r="S15" s="463">
        <v>1</v>
      </c>
      <c r="T15" s="463">
        <v>2</v>
      </c>
      <c r="U15" s="463">
        <f>S15*3+T15*0</f>
        <v>3</v>
      </c>
    </row>
    <row r="16" spans="1:21" ht="16.5">
      <c r="A16" s="131"/>
      <c r="B16" s="124">
        <v>11</v>
      </c>
      <c r="C16" s="143" t="s">
        <v>238</v>
      </c>
      <c r="D16" s="144">
        <v>5</v>
      </c>
      <c r="E16" s="119" t="s">
        <v>95</v>
      </c>
      <c r="F16" s="128" t="s">
        <v>289</v>
      </c>
      <c r="G16" s="133" t="s">
        <v>101</v>
      </c>
      <c r="H16" s="130" t="str">
        <f>VLOOKUP(E16,MD!$C$6:$K$54,3,FALSE)</f>
        <v>SCAA LM</v>
      </c>
      <c r="I16" s="130" t="s">
        <v>289</v>
      </c>
      <c r="J16" s="130" t="str">
        <f>VLOOKUP(G16,MD!$C$6:$K$54,3,FALSE)</f>
        <v>Alps CAUTION</v>
      </c>
      <c r="K16" s="111">
        <v>2</v>
      </c>
      <c r="L16" s="111">
        <f>19+21+16</f>
        <v>56</v>
      </c>
      <c r="M16" s="113">
        <f>21+9+14</f>
        <v>44</v>
      </c>
      <c r="N16" s="460">
        <v>1</v>
      </c>
      <c r="O16" s="461" t="s">
        <v>746</v>
      </c>
      <c r="Q16" s="462">
        <v>4</v>
      </c>
      <c r="R16" s="463" t="s">
        <v>96</v>
      </c>
      <c r="S16" s="463">
        <v>0</v>
      </c>
      <c r="T16" s="463">
        <v>3</v>
      </c>
      <c r="U16" s="463">
        <f>S16*3+T16*0</f>
        <v>0</v>
      </c>
    </row>
    <row r="17" spans="1:15" ht="16.5">
      <c r="A17" s="131"/>
      <c r="B17" s="132">
        <v>12</v>
      </c>
      <c r="C17" s="134" t="s">
        <v>238</v>
      </c>
      <c r="D17" s="135">
        <v>6</v>
      </c>
      <c r="E17" s="136" t="s">
        <v>71</v>
      </c>
      <c r="F17" s="137" t="s">
        <v>289</v>
      </c>
      <c r="G17" s="138" t="s">
        <v>77</v>
      </c>
      <c r="H17" s="464" t="str">
        <f>VLOOKUP(E17,MD!$C$6:$K$54,3,FALSE)</f>
        <v>SCAA LL</v>
      </c>
      <c r="I17" s="145" t="s">
        <v>289</v>
      </c>
      <c r="J17" s="145" t="str">
        <f>VLOOKUP(G17,MD!$C$6:$K$54,3,FALSE)</f>
        <v>ALPS YK</v>
      </c>
      <c r="K17" s="466">
        <v>2</v>
      </c>
      <c r="L17" s="466">
        <f>21+21</f>
        <v>42</v>
      </c>
      <c r="M17" s="465">
        <f>17+17</f>
        <v>34</v>
      </c>
      <c r="N17" s="467">
        <v>0</v>
      </c>
      <c r="O17" s="461" t="s">
        <v>747</v>
      </c>
    </row>
    <row r="18" spans="1:14" ht="16.5" hidden="1">
      <c r="A18" s="131"/>
      <c r="B18" s="124">
        <v>13</v>
      </c>
      <c r="C18" s="146" t="s">
        <v>290</v>
      </c>
      <c r="D18" s="126">
        <v>1</v>
      </c>
      <c r="E18" s="140" t="s">
        <v>291</v>
      </c>
      <c r="F18" s="141" t="s">
        <v>289</v>
      </c>
      <c r="G18" s="142" t="s">
        <v>292</v>
      </c>
      <c r="H18" s="115" t="e">
        <f>VLOOKUP(E18,MD!$C$6:$K$54,3,FALSE)</f>
        <v>#N/A</v>
      </c>
      <c r="I18" s="115" t="s">
        <v>289</v>
      </c>
      <c r="J18" s="115" t="e">
        <f>VLOOKUP(G18,MD!$C$6:$K$54,3,FALSE)</f>
        <v>#N/A</v>
      </c>
      <c r="K18" s="111"/>
      <c r="L18" s="111"/>
      <c r="M18" s="111"/>
      <c r="N18" s="459"/>
    </row>
    <row r="19" spans="1:14" ht="16.5" hidden="1">
      <c r="A19" s="131" t="e">
        <f>IF(#REF!&lt;&gt;#REF!,#REF!,"")</f>
        <v>#REF!</v>
      </c>
      <c r="B19" s="132">
        <v>14</v>
      </c>
      <c r="C19" s="143" t="s">
        <v>290</v>
      </c>
      <c r="D19" s="126">
        <v>2</v>
      </c>
      <c r="E19" s="119" t="s">
        <v>293</v>
      </c>
      <c r="F19" s="128" t="s">
        <v>289</v>
      </c>
      <c r="G19" s="133" t="s">
        <v>294</v>
      </c>
      <c r="H19" s="130" t="e">
        <f>VLOOKUP(E19,MD!$C$6:$K$54,3,FALSE)</f>
        <v>#N/A</v>
      </c>
      <c r="I19" s="130" t="s">
        <v>289</v>
      </c>
      <c r="J19" s="130" t="e">
        <f>VLOOKUP(G19,MD!$C$6:$K$54,3,FALSE)</f>
        <v>#N/A</v>
      </c>
      <c r="K19" s="111"/>
      <c r="L19" s="111"/>
      <c r="M19" s="111"/>
      <c r="N19" s="111"/>
    </row>
    <row r="20" spans="1:14" ht="16.5" hidden="1">
      <c r="A20" s="131" t="e">
        <f>IF(#REF!&lt;&gt;#REF!,#REF!,"")</f>
        <v>#REF!</v>
      </c>
      <c r="B20" s="124">
        <v>15</v>
      </c>
      <c r="C20" s="143" t="s">
        <v>290</v>
      </c>
      <c r="D20" s="126">
        <v>3</v>
      </c>
      <c r="E20" s="119" t="s">
        <v>291</v>
      </c>
      <c r="F20" s="128" t="s">
        <v>289</v>
      </c>
      <c r="G20" s="133" t="s">
        <v>294</v>
      </c>
      <c r="H20" s="130" t="e">
        <f>VLOOKUP(E20,MD!$C$6:$K$54,3,FALSE)</f>
        <v>#N/A</v>
      </c>
      <c r="I20" s="130" t="s">
        <v>289</v>
      </c>
      <c r="J20" s="130" t="e">
        <f>VLOOKUP(G20,MD!$C$6:$K$54,3,FALSE)</f>
        <v>#N/A</v>
      </c>
      <c r="K20" s="111"/>
      <c r="L20" s="111"/>
      <c r="M20" s="111"/>
      <c r="N20" s="111"/>
    </row>
    <row r="21" spans="1:14" ht="16.5" hidden="1">
      <c r="A21" s="131" t="e">
        <f>IF(#REF!&lt;&gt;#REF!,#REF!,"")</f>
        <v>#REF!</v>
      </c>
      <c r="B21" s="132">
        <v>16</v>
      </c>
      <c r="C21" s="143" t="s">
        <v>290</v>
      </c>
      <c r="D21" s="126">
        <v>4</v>
      </c>
      <c r="E21" s="119" t="s">
        <v>293</v>
      </c>
      <c r="F21" s="128" t="s">
        <v>289</v>
      </c>
      <c r="G21" s="133" t="s">
        <v>292</v>
      </c>
      <c r="H21" s="130" t="e">
        <f>VLOOKUP(E21,MD!$C$6:$K$54,3,FALSE)</f>
        <v>#N/A</v>
      </c>
      <c r="I21" s="130" t="s">
        <v>289</v>
      </c>
      <c r="J21" s="130" t="e">
        <f>VLOOKUP(G21,MD!$C$6:$K$54,3,FALSE)</f>
        <v>#N/A</v>
      </c>
      <c r="K21" s="111"/>
      <c r="L21" s="111"/>
      <c r="M21" s="111"/>
      <c r="N21" s="111"/>
    </row>
    <row r="22" spans="1:14" ht="16.5" hidden="1">
      <c r="A22" s="131" t="e">
        <f>IF(#REF!&lt;&gt;#REF!,#REF!,"")</f>
        <v>#REF!</v>
      </c>
      <c r="B22" s="124">
        <v>17</v>
      </c>
      <c r="C22" s="143" t="s">
        <v>290</v>
      </c>
      <c r="D22" s="126">
        <v>5</v>
      </c>
      <c r="E22" s="119" t="s">
        <v>294</v>
      </c>
      <c r="F22" s="128" t="s">
        <v>289</v>
      </c>
      <c r="G22" s="133" t="s">
        <v>292</v>
      </c>
      <c r="H22" s="130" t="e">
        <f>VLOOKUP(E22,MD!$C$6:$K$54,3,FALSE)</f>
        <v>#N/A</v>
      </c>
      <c r="I22" s="130" t="s">
        <v>289</v>
      </c>
      <c r="J22" s="130" t="e">
        <f>VLOOKUP(G22,MD!$C$6:$K$54,3,FALSE)</f>
        <v>#N/A</v>
      </c>
      <c r="K22" s="111"/>
      <c r="L22" s="111"/>
      <c r="M22" s="111"/>
      <c r="N22" s="111"/>
    </row>
    <row r="23" spans="1:14" ht="16.5" hidden="1">
      <c r="A23" s="131" t="e">
        <f>IF(#REF!&lt;&gt;#REF!,#REF!,"")</f>
        <v>#REF!</v>
      </c>
      <c r="B23" s="132">
        <v>18</v>
      </c>
      <c r="C23" s="134" t="s">
        <v>290</v>
      </c>
      <c r="D23" s="135">
        <v>6</v>
      </c>
      <c r="E23" s="136" t="s">
        <v>291</v>
      </c>
      <c r="F23" s="137" t="s">
        <v>289</v>
      </c>
      <c r="G23" s="138" t="s">
        <v>293</v>
      </c>
      <c r="H23" s="130" t="e">
        <f>VLOOKUP(E23,MD!$C$6:$K$54,3,FALSE)</f>
        <v>#N/A</v>
      </c>
      <c r="I23" s="130" t="s">
        <v>289</v>
      </c>
      <c r="J23" s="130" t="e">
        <f>VLOOKUP(G23,MD!$C$6:$K$54,3,FALSE)</f>
        <v>#N/A</v>
      </c>
      <c r="K23" s="111"/>
      <c r="L23" s="111"/>
      <c r="M23" s="111"/>
      <c r="N23" s="111"/>
    </row>
    <row r="24" spans="1:14" ht="16.5" hidden="1">
      <c r="A24" s="131" t="e">
        <f>IF(#REF!&lt;&gt;#REF!,#REF!,"")</f>
        <v>#REF!</v>
      </c>
      <c r="B24" s="124">
        <v>19</v>
      </c>
      <c r="C24" s="125" t="s">
        <v>295</v>
      </c>
      <c r="D24" s="126">
        <v>1</v>
      </c>
      <c r="E24" s="140" t="s">
        <v>296</v>
      </c>
      <c r="F24" s="128" t="s">
        <v>289</v>
      </c>
      <c r="G24" s="142" t="s">
        <v>297</v>
      </c>
      <c r="H24" s="130" t="e">
        <f>VLOOKUP(E24,MD!$C$6:$K$54,3,FALSE)</f>
        <v>#N/A</v>
      </c>
      <c r="I24" s="130" t="s">
        <v>289</v>
      </c>
      <c r="J24" s="130" t="e">
        <f>VLOOKUP(G24,MD!$C$6:$K$54,3,FALSE)</f>
        <v>#N/A</v>
      </c>
      <c r="K24" s="111"/>
      <c r="L24" s="111"/>
      <c r="M24" s="111"/>
      <c r="N24" s="111"/>
    </row>
    <row r="25" spans="1:14" ht="16.5" hidden="1">
      <c r="A25" s="131" t="e">
        <f>IF(#REF!&lt;&gt;#REF!,#REF!,"")</f>
        <v>#REF!</v>
      </c>
      <c r="B25" s="132">
        <v>20</v>
      </c>
      <c r="C25" s="125" t="s">
        <v>295</v>
      </c>
      <c r="D25" s="126">
        <v>2</v>
      </c>
      <c r="E25" s="119" t="s">
        <v>298</v>
      </c>
      <c r="F25" s="128" t="s">
        <v>289</v>
      </c>
      <c r="G25" s="133" t="s">
        <v>299</v>
      </c>
      <c r="H25" s="130" t="e">
        <f>VLOOKUP(E25,MD!$C$6:$K$54,3,FALSE)</f>
        <v>#N/A</v>
      </c>
      <c r="I25" s="130" t="s">
        <v>289</v>
      </c>
      <c r="J25" s="130" t="e">
        <f>VLOOKUP(G25,MD!$C$6:$K$54,3,FALSE)</f>
        <v>#N/A</v>
      </c>
      <c r="K25" s="111"/>
      <c r="L25" s="111"/>
      <c r="M25" s="111"/>
      <c r="N25" s="111"/>
    </row>
    <row r="26" spans="1:14" ht="16.5" hidden="1">
      <c r="A26" s="131" t="e">
        <f>IF(#REF!&lt;&gt;#REF!,#REF!,"")</f>
        <v>#REF!</v>
      </c>
      <c r="B26" s="124">
        <v>21</v>
      </c>
      <c r="C26" s="125" t="s">
        <v>295</v>
      </c>
      <c r="D26" s="126">
        <v>3</v>
      </c>
      <c r="E26" s="119" t="s">
        <v>296</v>
      </c>
      <c r="F26" s="128" t="s">
        <v>289</v>
      </c>
      <c r="G26" s="133" t="s">
        <v>299</v>
      </c>
      <c r="H26" s="130" t="e">
        <f>VLOOKUP(E26,MD!$C$6:$K$54,3,FALSE)</f>
        <v>#N/A</v>
      </c>
      <c r="I26" s="130" t="s">
        <v>289</v>
      </c>
      <c r="J26" s="130" t="e">
        <f>VLOOKUP(G26,MD!$C$6:$K$54,3,FALSE)</f>
        <v>#N/A</v>
      </c>
      <c r="K26" s="111"/>
      <c r="L26" s="111"/>
      <c r="M26" s="111"/>
      <c r="N26" s="111"/>
    </row>
    <row r="27" spans="1:14" ht="16.5" hidden="1">
      <c r="A27" s="131" t="e">
        <f>IF(#REF!&lt;&gt;#REF!,#REF!,"")</f>
        <v>#REF!</v>
      </c>
      <c r="B27" s="132">
        <v>22</v>
      </c>
      <c r="C27" s="125" t="s">
        <v>295</v>
      </c>
      <c r="D27" s="126">
        <v>4</v>
      </c>
      <c r="E27" s="119" t="s">
        <v>298</v>
      </c>
      <c r="F27" s="128" t="s">
        <v>289</v>
      </c>
      <c r="G27" s="133" t="s">
        <v>297</v>
      </c>
      <c r="H27" s="130" t="e">
        <f>VLOOKUP(E27,MD!$C$6:$K$54,3,FALSE)</f>
        <v>#N/A</v>
      </c>
      <c r="I27" s="130" t="s">
        <v>289</v>
      </c>
      <c r="J27" s="130" t="e">
        <f>VLOOKUP(G27,MD!$C$6:$K$54,3,FALSE)</f>
        <v>#N/A</v>
      </c>
      <c r="K27" s="111"/>
      <c r="L27" s="111"/>
      <c r="M27" s="111"/>
      <c r="N27" s="111"/>
    </row>
    <row r="28" spans="1:14" ht="16.5" hidden="1">
      <c r="A28" s="131" t="e">
        <f>IF(#REF!&lt;&gt;#REF!,#REF!,"")</f>
        <v>#REF!</v>
      </c>
      <c r="B28" s="124">
        <v>23</v>
      </c>
      <c r="C28" s="125" t="s">
        <v>295</v>
      </c>
      <c r="D28" s="126">
        <v>5</v>
      </c>
      <c r="E28" s="119" t="s">
        <v>299</v>
      </c>
      <c r="F28" s="128" t="s">
        <v>289</v>
      </c>
      <c r="G28" s="133" t="s">
        <v>297</v>
      </c>
      <c r="H28" s="130" t="e">
        <f>VLOOKUP(E28,MD!$C$6:$K$54,3,FALSE)</f>
        <v>#N/A</v>
      </c>
      <c r="I28" s="130" t="s">
        <v>289</v>
      </c>
      <c r="J28" s="130" t="e">
        <f>VLOOKUP(G28,MD!$C$6:$K$54,3,FALSE)</f>
        <v>#N/A</v>
      </c>
      <c r="K28" s="111"/>
      <c r="L28" s="111"/>
      <c r="M28" s="111"/>
      <c r="N28" s="111"/>
    </row>
    <row r="29" spans="1:14" ht="16.5" hidden="1">
      <c r="A29" s="131" t="e">
        <f>IF(#REF!&lt;&gt;#REF!,#REF!,"")</f>
        <v>#REF!</v>
      </c>
      <c r="B29" s="132">
        <v>24</v>
      </c>
      <c r="C29" s="125" t="s">
        <v>295</v>
      </c>
      <c r="D29" s="135">
        <v>6</v>
      </c>
      <c r="E29" s="136" t="s">
        <v>296</v>
      </c>
      <c r="F29" s="137" t="s">
        <v>289</v>
      </c>
      <c r="G29" s="138" t="s">
        <v>298</v>
      </c>
      <c r="H29" s="130" t="e">
        <f>VLOOKUP(E29,MD!$C$6:$K$54,3,FALSE)</f>
        <v>#N/A</v>
      </c>
      <c r="I29" s="130" t="s">
        <v>289</v>
      </c>
      <c r="J29" s="130" t="e">
        <f>VLOOKUP(G29,MD!$C$6:$K$54,3,FALSE)</f>
        <v>#N/A</v>
      </c>
      <c r="K29" s="111"/>
      <c r="L29" s="111"/>
      <c r="M29" s="111"/>
      <c r="N29" s="111"/>
    </row>
    <row r="30" spans="1:14" ht="16.5" hidden="1">
      <c r="A30" s="131" t="e">
        <f>IF(#REF!&lt;&gt;#REF!,#REF!,"")</f>
        <v>#REF!</v>
      </c>
      <c r="B30" s="124">
        <v>25</v>
      </c>
      <c r="C30" s="147" t="s">
        <v>300</v>
      </c>
      <c r="D30" s="126">
        <v>1</v>
      </c>
      <c r="E30" s="148" t="s">
        <v>126</v>
      </c>
      <c r="F30" s="128" t="s">
        <v>289</v>
      </c>
      <c r="G30" s="149" t="s">
        <v>209</v>
      </c>
      <c r="H30" s="130" t="str">
        <f>VLOOKUP(E30,MD!$C$6:$K$54,3,FALSE)</f>
        <v>後生仔</v>
      </c>
      <c r="I30" s="130" t="s">
        <v>289</v>
      </c>
      <c r="J30" s="130" t="str">
        <f>VLOOKUP(G30,MD!$C$6:$K$54,3,FALSE)</f>
        <v>呀哈</v>
      </c>
      <c r="K30" s="111"/>
      <c r="L30" s="111"/>
      <c r="M30" s="111"/>
      <c r="N30" s="111"/>
    </row>
    <row r="31" spans="1:14" ht="16.5" hidden="1">
      <c r="A31" s="131" t="e">
        <f>IF(#REF!&lt;&gt;#REF!,#REF!,"")</f>
        <v>#REF!</v>
      </c>
      <c r="B31" s="132">
        <v>26</v>
      </c>
      <c r="C31" s="143" t="s">
        <v>300</v>
      </c>
      <c r="D31" s="126">
        <v>2</v>
      </c>
      <c r="E31" s="148" t="s">
        <v>149</v>
      </c>
      <c r="F31" s="128" t="s">
        <v>289</v>
      </c>
      <c r="G31" s="149" t="s">
        <v>198</v>
      </c>
      <c r="H31" s="130" t="str">
        <f>VLOOKUP(E31,MD!$C$6:$K$54,3,FALSE)</f>
        <v>米奇與勁大隻傑</v>
      </c>
      <c r="I31" s="130" t="s">
        <v>289</v>
      </c>
      <c r="J31" s="130" t="str">
        <f>VLOOKUP(G31,MD!$C$6:$K$54,3,FALSE)</f>
        <v>SCAA-99</v>
      </c>
      <c r="K31" s="111"/>
      <c r="L31" s="111"/>
      <c r="M31" s="111"/>
      <c r="N31" s="111"/>
    </row>
    <row r="32" spans="1:14" ht="16.5" hidden="1">
      <c r="A32" s="131" t="e">
        <f>IF(#REF!&lt;&gt;#REF!,#REF!,"")</f>
        <v>#REF!</v>
      </c>
      <c r="B32" s="124">
        <v>27</v>
      </c>
      <c r="C32" s="143" t="s">
        <v>300</v>
      </c>
      <c r="D32" s="126">
        <v>3</v>
      </c>
      <c r="E32" s="148" t="s">
        <v>126</v>
      </c>
      <c r="F32" s="128" t="s">
        <v>289</v>
      </c>
      <c r="G32" s="149" t="s">
        <v>198</v>
      </c>
      <c r="H32" s="130" t="str">
        <f>VLOOKUP(E32,MD!$C$6:$K$54,3,FALSE)</f>
        <v>後生仔</v>
      </c>
      <c r="I32" s="130" t="s">
        <v>289</v>
      </c>
      <c r="J32" s="130" t="str">
        <f>VLOOKUP(G32,MD!$C$6:$K$54,3,FALSE)</f>
        <v>SCAA-99</v>
      </c>
      <c r="K32" s="111"/>
      <c r="L32" s="111"/>
      <c r="M32" s="111"/>
      <c r="N32" s="111"/>
    </row>
    <row r="33" spans="1:14" ht="16.5" hidden="1">
      <c r="A33" s="131" t="e">
        <f>IF(#REF!&lt;&gt;#REF!,#REF!,"")</f>
        <v>#REF!</v>
      </c>
      <c r="B33" s="132">
        <v>28</v>
      </c>
      <c r="C33" s="143" t="s">
        <v>300</v>
      </c>
      <c r="D33" s="126">
        <v>4</v>
      </c>
      <c r="E33" s="148" t="s">
        <v>149</v>
      </c>
      <c r="F33" s="128" t="s">
        <v>289</v>
      </c>
      <c r="G33" s="149" t="s">
        <v>209</v>
      </c>
      <c r="H33" s="130" t="str">
        <f>VLOOKUP(E33,MD!$C$6:$K$54,3,FALSE)</f>
        <v>米奇與勁大隻傑</v>
      </c>
      <c r="I33" s="145" t="s">
        <v>289</v>
      </c>
      <c r="J33" s="130" t="str">
        <f>VLOOKUP(G33,MD!$C$6:$K$54,3,FALSE)</f>
        <v>呀哈</v>
      </c>
      <c r="K33" s="111"/>
      <c r="L33" s="111"/>
      <c r="M33" s="111"/>
      <c r="N33" s="111"/>
    </row>
    <row r="34" spans="1:14" ht="16.5" hidden="1">
      <c r="A34" s="131" t="e">
        <f>IF(#REF!&lt;&gt;#REF!,#REF!,"")</f>
        <v>#REF!</v>
      </c>
      <c r="B34" s="124">
        <v>29</v>
      </c>
      <c r="C34" s="143" t="s">
        <v>300</v>
      </c>
      <c r="D34" s="126">
        <v>5</v>
      </c>
      <c r="E34" s="148" t="s">
        <v>198</v>
      </c>
      <c r="F34" s="128" t="s">
        <v>289</v>
      </c>
      <c r="G34" s="149" t="s">
        <v>209</v>
      </c>
      <c r="H34" s="130" t="str">
        <f>VLOOKUP(E34,MD!$C$6:$K$54,3,FALSE)</f>
        <v>SCAA-99</v>
      </c>
      <c r="I34" s="115" t="s">
        <v>289</v>
      </c>
      <c r="J34" s="130" t="str">
        <f>VLOOKUP(G34,MD!$C$6:$K$54,3,FALSE)</f>
        <v>呀哈</v>
      </c>
      <c r="K34" s="111"/>
      <c r="L34" s="111"/>
      <c r="M34" s="111"/>
      <c r="N34" s="111"/>
    </row>
    <row r="35" spans="1:14" ht="16.5" hidden="1">
      <c r="A35" s="131" t="e">
        <f>IF(#REF!&lt;&gt;#REF!,#REF!,"")</f>
        <v>#REF!</v>
      </c>
      <c r="B35" s="132">
        <v>30</v>
      </c>
      <c r="C35" s="143" t="s">
        <v>300</v>
      </c>
      <c r="D35" s="135">
        <v>6</v>
      </c>
      <c r="E35" s="150" t="s">
        <v>126</v>
      </c>
      <c r="F35" s="137" t="s">
        <v>289</v>
      </c>
      <c r="G35" s="151" t="s">
        <v>149</v>
      </c>
      <c r="H35" s="130" t="str">
        <f>VLOOKUP(E35,MD!$C$6:$K$54,3,FALSE)</f>
        <v>後生仔</v>
      </c>
      <c r="I35" s="130" t="s">
        <v>289</v>
      </c>
      <c r="J35" s="130" t="str">
        <f>VLOOKUP(G35,MD!$C$6:$K$54,3,FALSE)</f>
        <v>米奇與勁大隻傑</v>
      </c>
      <c r="K35" s="111"/>
      <c r="L35" s="111"/>
      <c r="M35" s="111"/>
      <c r="N35" s="111"/>
    </row>
    <row r="36" spans="1:14" ht="16.5" hidden="1">
      <c r="A36" s="131" t="e">
        <f>IF(#REF!&lt;&gt;#REF!,#REF!,"")</f>
        <v>#REF!</v>
      </c>
      <c r="B36" s="124">
        <v>31</v>
      </c>
      <c r="C36" s="147" t="s">
        <v>301</v>
      </c>
      <c r="D36" s="126">
        <v>1</v>
      </c>
      <c r="E36" s="152" t="s">
        <v>130</v>
      </c>
      <c r="F36" s="141" t="s">
        <v>289</v>
      </c>
      <c r="G36" s="153" t="s">
        <v>211</v>
      </c>
      <c r="H36" s="130" t="str">
        <f>VLOOKUP(E36,MD!$C$6:$K$54,3,FALSE)</f>
        <v>SKTL</v>
      </c>
      <c r="I36" s="130" t="s">
        <v>289</v>
      </c>
      <c r="J36" s="130" t="str">
        <f>VLOOKUP(G36,MD!$C$6:$K$54,3,FALSE)</f>
        <v>一般貨色</v>
      </c>
      <c r="K36" s="111"/>
      <c r="L36" s="111"/>
      <c r="M36" s="111"/>
      <c r="N36" s="111"/>
    </row>
    <row r="37" spans="1:14" ht="16.5" hidden="1">
      <c r="A37" s="131" t="e">
        <f>IF(#REF!&lt;&gt;#REF!,#REF!,"")</f>
        <v>#REF!</v>
      </c>
      <c r="B37" s="132">
        <v>32</v>
      </c>
      <c r="C37" s="143" t="s">
        <v>301</v>
      </c>
      <c r="D37" s="126">
        <v>2</v>
      </c>
      <c r="E37" s="148" t="s">
        <v>146</v>
      </c>
      <c r="F37" s="128" t="s">
        <v>289</v>
      </c>
      <c r="G37" s="149" t="s">
        <v>199</v>
      </c>
      <c r="H37" s="130" t="str">
        <f>VLOOKUP(E37,MD!$C$6:$K$54,3,FALSE)</f>
        <v>傻烽</v>
      </c>
      <c r="I37" s="130" t="s">
        <v>289</v>
      </c>
      <c r="J37" s="130" t="str">
        <f>VLOOKUP(G37,MD!$C$6:$K$54,3,FALSE)</f>
        <v>SCAA K&amp;L</v>
      </c>
      <c r="K37" s="111"/>
      <c r="L37" s="111"/>
      <c r="M37" s="111"/>
      <c r="N37" s="111"/>
    </row>
    <row r="38" spans="1:14" ht="16.5" hidden="1">
      <c r="A38" s="131" t="e">
        <f>IF(#REF!&lt;&gt;#REF!,#REF!,"")</f>
        <v>#REF!</v>
      </c>
      <c r="B38" s="124">
        <v>33</v>
      </c>
      <c r="C38" s="143" t="s">
        <v>301</v>
      </c>
      <c r="D38" s="126">
        <v>3</v>
      </c>
      <c r="E38" s="148" t="s">
        <v>130</v>
      </c>
      <c r="F38" s="128" t="s">
        <v>289</v>
      </c>
      <c r="G38" s="149" t="s">
        <v>199</v>
      </c>
      <c r="H38" s="130" t="str">
        <f>VLOOKUP(E38,MD!$C$6:$K$54,3,FALSE)</f>
        <v>SKTL</v>
      </c>
      <c r="I38" s="130" t="s">
        <v>289</v>
      </c>
      <c r="J38" s="130" t="str">
        <f>VLOOKUP(G38,MD!$C$6:$K$54,3,FALSE)</f>
        <v>SCAA K&amp;L</v>
      </c>
      <c r="K38" s="111"/>
      <c r="L38" s="111"/>
      <c r="M38" s="111"/>
      <c r="N38" s="111"/>
    </row>
    <row r="39" spans="1:14" ht="16.5" hidden="1">
      <c r="A39" s="131" t="e">
        <f>IF(#REF!&lt;&gt;#REF!,#REF!,"")</f>
        <v>#REF!</v>
      </c>
      <c r="B39" s="132">
        <v>34</v>
      </c>
      <c r="C39" s="143" t="s">
        <v>301</v>
      </c>
      <c r="D39" s="126">
        <v>4</v>
      </c>
      <c r="E39" s="148" t="s">
        <v>146</v>
      </c>
      <c r="F39" s="128" t="s">
        <v>289</v>
      </c>
      <c r="G39" s="149" t="s">
        <v>211</v>
      </c>
      <c r="H39" s="130" t="str">
        <f>VLOOKUP(E39,MD!$C$6:$K$54,3,FALSE)</f>
        <v>傻烽</v>
      </c>
      <c r="I39" s="130" t="s">
        <v>289</v>
      </c>
      <c r="J39" s="130" t="str">
        <f>VLOOKUP(G39,MD!$C$6:$K$54,3,FALSE)</f>
        <v>一般貨色</v>
      </c>
      <c r="K39" s="111"/>
      <c r="L39" s="111"/>
      <c r="M39" s="111"/>
      <c r="N39" s="111"/>
    </row>
    <row r="40" spans="1:14" ht="16.5" hidden="1">
      <c r="A40" s="131" t="e">
        <f>IF(#REF!&lt;&gt;#REF!,#REF!,"")</f>
        <v>#REF!</v>
      </c>
      <c r="B40" s="124">
        <v>35</v>
      </c>
      <c r="C40" s="143" t="s">
        <v>301</v>
      </c>
      <c r="D40" s="126">
        <v>5</v>
      </c>
      <c r="E40" s="148" t="s">
        <v>199</v>
      </c>
      <c r="F40" s="128" t="s">
        <v>289</v>
      </c>
      <c r="G40" s="149" t="s">
        <v>211</v>
      </c>
      <c r="H40" s="130" t="str">
        <f>VLOOKUP(E40,MD!$C$6:$K$54,3,FALSE)</f>
        <v>SCAA K&amp;L</v>
      </c>
      <c r="I40" s="130" t="s">
        <v>289</v>
      </c>
      <c r="J40" s="130" t="str">
        <f>VLOOKUP(G40,MD!$C$6:$K$54,3,FALSE)</f>
        <v>一般貨色</v>
      </c>
      <c r="K40" s="111"/>
      <c r="L40" s="111"/>
      <c r="M40" s="111"/>
      <c r="N40" s="111"/>
    </row>
    <row r="41" spans="1:14" ht="16.5" hidden="1">
      <c r="A41" s="131" t="e">
        <f>IF(#REF!&lt;&gt;#REF!,#REF!,"")</f>
        <v>#REF!</v>
      </c>
      <c r="B41" s="132">
        <v>36</v>
      </c>
      <c r="C41" s="134" t="s">
        <v>301</v>
      </c>
      <c r="D41" s="135">
        <v>6</v>
      </c>
      <c r="E41" s="150" t="s">
        <v>130</v>
      </c>
      <c r="F41" s="137" t="s">
        <v>289</v>
      </c>
      <c r="G41" s="151" t="s">
        <v>146</v>
      </c>
      <c r="H41" s="130" t="str">
        <f>VLOOKUP(E41,MD!$C$6:$K$54,3,FALSE)</f>
        <v>SKTL</v>
      </c>
      <c r="I41" s="130" t="s">
        <v>289</v>
      </c>
      <c r="J41" s="130" t="str">
        <f>VLOOKUP(G41,MD!$C$6:$K$54,3,FALSE)</f>
        <v>傻烽</v>
      </c>
      <c r="K41" s="111"/>
      <c r="L41" s="111"/>
      <c r="M41" s="111"/>
      <c r="N41" s="111"/>
    </row>
    <row r="42" spans="1:14" ht="16.5" hidden="1">
      <c r="A42" s="131" t="e">
        <f>IF(#REF!&lt;&gt;#REF!,#REF!,"")</f>
        <v>#REF!</v>
      </c>
      <c r="B42" s="124">
        <v>37</v>
      </c>
      <c r="C42" s="125" t="s">
        <v>302</v>
      </c>
      <c r="D42" s="126">
        <v>1</v>
      </c>
      <c r="E42" s="152" t="s">
        <v>134</v>
      </c>
      <c r="F42" s="141" t="s">
        <v>289</v>
      </c>
      <c r="G42" s="153" t="s">
        <v>213</v>
      </c>
      <c r="H42" s="130" t="str">
        <f>VLOOKUP(E42,MD!$C$6:$K$54,3,FALSE)</f>
        <v>handshake</v>
      </c>
      <c r="I42" s="130" t="s">
        <v>289</v>
      </c>
      <c r="J42" s="130" t="str">
        <f>VLOOKUP(G42,MD!$C$6:$K$54,3,FALSE)</f>
        <v>肇青一隊</v>
      </c>
      <c r="K42" s="111"/>
      <c r="L42" s="111"/>
      <c r="M42" s="111"/>
      <c r="N42" s="111"/>
    </row>
    <row r="43" spans="1:14" ht="16.5" hidden="1">
      <c r="A43" s="131" t="e">
        <f>IF(#REF!&lt;&gt;#REF!,#REF!,"")</f>
        <v>#REF!</v>
      </c>
      <c r="B43" s="132">
        <v>38</v>
      </c>
      <c r="C43" s="125" t="s">
        <v>302</v>
      </c>
      <c r="D43" s="126">
        <v>2</v>
      </c>
      <c r="E43" s="148" t="s">
        <v>143</v>
      </c>
      <c r="F43" s="128" t="s">
        <v>289</v>
      </c>
      <c r="G43" s="149" t="s">
        <v>200</v>
      </c>
      <c r="H43" s="130" t="str">
        <f>VLOOKUP(E43,MD!$C$6:$K$54,3,FALSE)</f>
        <v>紅藍</v>
      </c>
      <c r="I43" s="130" t="s">
        <v>289</v>
      </c>
      <c r="J43" s="130" t="str">
        <f>VLOOKUP(G43,MD!$C$6:$K$54,3,FALSE)</f>
        <v>肇青二隊</v>
      </c>
      <c r="K43" s="111"/>
      <c r="L43" s="111"/>
      <c r="M43" s="111"/>
      <c r="N43" s="111"/>
    </row>
    <row r="44" spans="1:14" ht="16.5" hidden="1">
      <c r="A44" s="131" t="e">
        <f>IF(#REF!&lt;&gt;#REF!,#REF!,"")</f>
        <v>#REF!</v>
      </c>
      <c r="B44" s="124">
        <v>39</v>
      </c>
      <c r="C44" s="125" t="s">
        <v>302</v>
      </c>
      <c r="D44" s="126">
        <v>3</v>
      </c>
      <c r="E44" s="148" t="s">
        <v>134</v>
      </c>
      <c r="F44" s="128" t="s">
        <v>289</v>
      </c>
      <c r="G44" s="149" t="s">
        <v>200</v>
      </c>
      <c r="H44" s="130" t="str">
        <f>VLOOKUP(E44,MD!$C$6:$K$54,3,FALSE)</f>
        <v>handshake</v>
      </c>
      <c r="I44" s="130" t="s">
        <v>289</v>
      </c>
      <c r="J44" s="130" t="str">
        <f>VLOOKUP(G44,MD!$C$6:$K$54,3,FALSE)</f>
        <v>肇青二隊</v>
      </c>
      <c r="K44" s="111"/>
      <c r="L44" s="111"/>
      <c r="M44" s="111"/>
      <c r="N44" s="111"/>
    </row>
    <row r="45" spans="1:14" ht="16.5" hidden="1">
      <c r="A45" s="131" t="e">
        <f>IF(#REF!&lt;&gt;#REF!,#REF!,"")</f>
        <v>#REF!</v>
      </c>
      <c r="B45" s="132">
        <v>40</v>
      </c>
      <c r="C45" s="125" t="s">
        <v>302</v>
      </c>
      <c r="D45" s="126">
        <v>4</v>
      </c>
      <c r="E45" s="148" t="s">
        <v>143</v>
      </c>
      <c r="F45" s="128" t="s">
        <v>289</v>
      </c>
      <c r="G45" s="149" t="s">
        <v>213</v>
      </c>
      <c r="H45" s="130" t="str">
        <f>VLOOKUP(E45,MD!$C$6:$K$54,3,FALSE)</f>
        <v>紅藍</v>
      </c>
      <c r="I45" s="130" t="s">
        <v>289</v>
      </c>
      <c r="J45" s="130" t="str">
        <f>VLOOKUP(G45,MD!$C$6:$K$54,3,FALSE)</f>
        <v>肇青一隊</v>
      </c>
      <c r="K45" s="111"/>
      <c r="L45" s="111"/>
      <c r="M45" s="111"/>
      <c r="N45" s="111"/>
    </row>
    <row r="46" spans="2:14" ht="16.5" hidden="1">
      <c r="B46" s="124">
        <v>41</v>
      </c>
      <c r="C46" s="125" t="s">
        <v>302</v>
      </c>
      <c r="D46" s="126">
        <v>5</v>
      </c>
      <c r="E46" s="148" t="s">
        <v>200</v>
      </c>
      <c r="F46" s="128" t="s">
        <v>289</v>
      </c>
      <c r="G46" s="149" t="s">
        <v>213</v>
      </c>
      <c r="H46" s="130" t="str">
        <f>VLOOKUP(E46,MD!$C$6:$K$54,3,FALSE)</f>
        <v>肇青二隊</v>
      </c>
      <c r="I46" s="130" t="s">
        <v>289</v>
      </c>
      <c r="J46" s="130" t="str">
        <f>VLOOKUP(G46,MD!$C$6:$K$54,3,FALSE)</f>
        <v>肇青一隊</v>
      </c>
      <c r="K46" s="111"/>
      <c r="L46" s="111"/>
      <c r="M46" s="111"/>
      <c r="N46" s="111"/>
    </row>
    <row r="47" spans="2:14" ht="16.5" hidden="1">
      <c r="B47" s="132">
        <v>42</v>
      </c>
      <c r="C47" s="134" t="s">
        <v>302</v>
      </c>
      <c r="D47" s="135">
        <v>6</v>
      </c>
      <c r="E47" s="150" t="s">
        <v>134</v>
      </c>
      <c r="F47" s="137" t="s">
        <v>289</v>
      </c>
      <c r="G47" s="151" t="s">
        <v>143</v>
      </c>
      <c r="H47" s="130" t="str">
        <f>VLOOKUP(E47,MD!$C$6:$K$54,3,FALSE)</f>
        <v>handshake</v>
      </c>
      <c r="I47" s="130" t="s">
        <v>289</v>
      </c>
      <c r="J47" s="130" t="str">
        <f>VLOOKUP(G47,MD!$C$6:$K$54,3,FALSE)</f>
        <v>紅藍</v>
      </c>
      <c r="K47" s="111"/>
      <c r="L47" s="111"/>
      <c r="M47" s="111"/>
      <c r="N47" s="111"/>
    </row>
    <row r="48" spans="2:14" ht="16.5" hidden="1">
      <c r="B48" s="124">
        <v>43</v>
      </c>
      <c r="C48" s="125" t="s">
        <v>303</v>
      </c>
      <c r="D48" s="126">
        <v>1</v>
      </c>
      <c r="E48" s="148" t="s">
        <v>137</v>
      </c>
      <c r="F48" s="128" t="s">
        <v>289</v>
      </c>
      <c r="G48" s="149" t="s">
        <v>215</v>
      </c>
      <c r="H48" s="130" t="str">
        <f>VLOOKUP(E48,MD!$C$6:$K$54,3,FALSE)</f>
        <v>撈碧鵰</v>
      </c>
      <c r="I48" s="130" t="s">
        <v>289</v>
      </c>
      <c r="J48" s="130" t="str">
        <f>VLOOKUP(G48,MD!$C$6:$K$54,3,FALSE)</f>
        <v>隨心96ers</v>
      </c>
      <c r="K48" s="111"/>
      <c r="L48" s="111"/>
      <c r="M48" s="111"/>
      <c r="N48" s="111"/>
    </row>
    <row r="49" spans="2:14" ht="16.5" hidden="1">
      <c r="B49" s="132">
        <v>44</v>
      </c>
      <c r="C49" s="125" t="s">
        <v>303</v>
      </c>
      <c r="D49" s="126">
        <v>2</v>
      </c>
      <c r="E49" s="148" t="s">
        <v>140</v>
      </c>
      <c r="F49" s="128" t="s">
        <v>289</v>
      </c>
      <c r="G49" s="149" t="s">
        <v>201</v>
      </c>
      <c r="H49" s="130" t="str">
        <f>VLOOKUP(E49,MD!$C$6:$K$54,3,FALSE)</f>
        <v>Alps琨</v>
      </c>
      <c r="I49" s="130" t="s">
        <v>289</v>
      </c>
      <c r="J49" s="130" t="str">
        <f>VLOOKUP(G49,MD!$C$6:$K$54,3,FALSE)</f>
        <v>隨心 2</v>
      </c>
      <c r="K49" s="111"/>
      <c r="L49" s="111"/>
      <c r="M49" s="111"/>
      <c r="N49" s="111"/>
    </row>
    <row r="50" spans="2:14" ht="16.5" hidden="1">
      <c r="B50" s="124">
        <v>45</v>
      </c>
      <c r="C50" s="125" t="s">
        <v>303</v>
      </c>
      <c r="D50" s="126">
        <v>3</v>
      </c>
      <c r="E50" s="148" t="s">
        <v>137</v>
      </c>
      <c r="F50" s="128" t="s">
        <v>289</v>
      </c>
      <c r="G50" s="149" t="s">
        <v>201</v>
      </c>
      <c r="H50" s="130" t="str">
        <f>VLOOKUP(E50,MD!$C$6:$K$54,3,FALSE)</f>
        <v>撈碧鵰</v>
      </c>
      <c r="I50" s="130" t="s">
        <v>289</v>
      </c>
      <c r="J50" s="130" t="str">
        <f>VLOOKUP(G50,MD!$C$6:$K$54,3,FALSE)</f>
        <v>隨心 2</v>
      </c>
      <c r="K50" s="111"/>
      <c r="L50" s="111"/>
      <c r="M50" s="111"/>
      <c r="N50" s="111"/>
    </row>
    <row r="51" spans="2:14" ht="16.5" hidden="1">
      <c r="B51" s="132">
        <v>46</v>
      </c>
      <c r="C51" s="125" t="s">
        <v>303</v>
      </c>
      <c r="D51" s="126">
        <v>4</v>
      </c>
      <c r="E51" s="148" t="s">
        <v>140</v>
      </c>
      <c r="F51" s="128" t="s">
        <v>289</v>
      </c>
      <c r="G51" s="149" t="s">
        <v>215</v>
      </c>
      <c r="H51" s="130" t="str">
        <f>VLOOKUP(E51,MD!$C$6:$K$54,3,FALSE)</f>
        <v>Alps琨</v>
      </c>
      <c r="I51" s="130" t="s">
        <v>289</v>
      </c>
      <c r="J51" s="130" t="str">
        <f>VLOOKUP(G51,MD!$C$6:$K$54,3,FALSE)</f>
        <v>隨心96ers</v>
      </c>
      <c r="K51" s="111"/>
      <c r="L51" s="111"/>
      <c r="M51" s="111"/>
      <c r="N51" s="111"/>
    </row>
    <row r="52" spans="2:14" ht="16.5" hidden="1">
      <c r="B52" s="124">
        <v>47</v>
      </c>
      <c r="C52" s="125" t="s">
        <v>303</v>
      </c>
      <c r="D52" s="126">
        <v>5</v>
      </c>
      <c r="E52" s="148" t="s">
        <v>201</v>
      </c>
      <c r="F52" s="128" t="s">
        <v>289</v>
      </c>
      <c r="G52" s="149" t="s">
        <v>215</v>
      </c>
      <c r="H52" s="130" t="str">
        <f>VLOOKUP(E52,MD!$C$6:$K$54,3,FALSE)</f>
        <v>隨心 2</v>
      </c>
      <c r="I52" s="130" t="s">
        <v>289</v>
      </c>
      <c r="J52" s="130" t="str">
        <f>VLOOKUP(G52,MD!$C$6:$K$54,3,FALSE)</f>
        <v>隨心96ers</v>
      </c>
      <c r="K52" s="111"/>
      <c r="L52" s="111"/>
      <c r="M52" s="111"/>
      <c r="N52" s="111"/>
    </row>
    <row r="53" spans="2:14" ht="16.5" hidden="1">
      <c r="B53" s="132">
        <v>48</v>
      </c>
      <c r="C53" s="154" t="s">
        <v>303</v>
      </c>
      <c r="D53" s="135">
        <v>6</v>
      </c>
      <c r="E53" s="150" t="s">
        <v>137</v>
      </c>
      <c r="F53" s="137" t="s">
        <v>289</v>
      </c>
      <c r="G53" s="151" t="s">
        <v>140</v>
      </c>
      <c r="H53" s="130" t="str">
        <f>VLOOKUP(E53,MD!$C$6:$K$54,3,FALSE)</f>
        <v>撈碧鵰</v>
      </c>
      <c r="I53" s="145" t="s">
        <v>289</v>
      </c>
      <c r="J53" s="130" t="str">
        <f>VLOOKUP(G53,MD!$C$6:$K$54,3,FALSE)</f>
        <v>Alps琨</v>
      </c>
      <c r="K53" s="111"/>
      <c r="L53" s="111"/>
      <c r="M53" s="111"/>
      <c r="N53" s="111"/>
    </row>
    <row r="54" spans="2:8" ht="16.5" hidden="1">
      <c r="B54" s="155"/>
      <c r="C54" s="155"/>
      <c r="D54" s="155"/>
      <c r="E54" s="155"/>
      <c r="F54" s="155"/>
      <c r="G54" s="155"/>
      <c r="H54" s="115" t="str">
        <f>VLOOKUP(E54,'[2]MD'!$B$6:$H$95,3,FALSE)</f>
        <v>仁二</v>
      </c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3"/>
  <sheetViews>
    <sheetView zoomScale="70" zoomScaleNormal="70" zoomScalePageLayoutView="0" workbookViewId="0" topLeftCell="A55">
      <selection activeCell="H63" sqref="H63"/>
    </sheetView>
  </sheetViews>
  <sheetFormatPr defaultColWidth="9.00390625" defaultRowHeight="16.5"/>
  <cols>
    <col min="1" max="1" width="3.875" style="64" customWidth="1"/>
    <col min="2" max="2" width="25.875" style="64" customWidth="1"/>
    <col min="3" max="3" width="12.875" style="64" customWidth="1"/>
    <col min="4" max="4" width="12.625" style="73" customWidth="1"/>
    <col min="5" max="7" width="12.625" style="64" customWidth="1"/>
    <col min="8" max="8" width="15.625" style="64" customWidth="1"/>
    <col min="9" max="9" width="12.625" style="64" customWidth="1"/>
    <col min="10" max="15" width="12.875" style="64" customWidth="1"/>
    <col min="16" max="16" width="13.875" style="64" customWidth="1"/>
    <col min="17" max="16384" width="9.00390625" style="64" customWidth="1"/>
  </cols>
  <sheetData>
    <row r="1" spans="2:3" ht="16.5">
      <c r="B1" s="65" t="s">
        <v>304</v>
      </c>
      <c r="C1" s="66"/>
    </row>
    <row r="2" spans="2:3" ht="16.5">
      <c r="B2" s="65"/>
      <c r="C2" s="66"/>
    </row>
    <row r="3" spans="2:3" ht="16.5">
      <c r="B3" s="65" t="s">
        <v>654</v>
      </c>
      <c r="C3" s="66"/>
    </row>
    <row r="4" spans="2:3" ht="16.5">
      <c r="B4" s="65" t="s">
        <v>234</v>
      </c>
      <c r="C4" s="66"/>
    </row>
    <row r="5" spans="2:9" ht="16.5">
      <c r="B5" s="156" t="s">
        <v>305</v>
      </c>
      <c r="C5" s="157"/>
      <c r="D5" s="158"/>
      <c r="E5" s="159"/>
      <c r="F5" s="159"/>
      <c r="G5" s="159"/>
      <c r="H5" s="159"/>
      <c r="I5" s="159"/>
    </row>
    <row r="6" spans="2:9" ht="16.5">
      <c r="B6" s="156" t="s">
        <v>306</v>
      </c>
      <c r="C6" s="157"/>
      <c r="D6" s="158"/>
      <c r="E6" s="159"/>
      <c r="F6" s="159"/>
      <c r="G6" s="159"/>
      <c r="H6" s="159"/>
      <c r="I6" s="159"/>
    </row>
    <row r="7" spans="2:18" ht="16.5">
      <c r="B7" s="160"/>
      <c r="C7" s="161" t="s">
        <v>237</v>
      </c>
      <c r="D7" s="161" t="s">
        <v>238</v>
      </c>
      <c r="E7" s="161" t="s">
        <v>290</v>
      </c>
      <c r="F7" s="161" t="s">
        <v>295</v>
      </c>
      <c r="G7" s="161" t="s">
        <v>300</v>
      </c>
      <c r="H7" s="161" t="s">
        <v>301</v>
      </c>
      <c r="I7" s="161" t="s">
        <v>302</v>
      </c>
      <c r="J7" s="161" t="s">
        <v>303</v>
      </c>
      <c r="K7" s="73"/>
      <c r="P7" s="73"/>
      <c r="Q7" s="73"/>
      <c r="R7" s="73"/>
    </row>
    <row r="8" spans="2:10" ht="16.5">
      <c r="B8" s="162"/>
      <c r="C8" s="163" t="s">
        <v>249</v>
      </c>
      <c r="D8" s="163" t="s">
        <v>251</v>
      </c>
      <c r="E8" s="163" t="s">
        <v>253</v>
      </c>
      <c r="F8" s="163" t="s">
        <v>307</v>
      </c>
      <c r="G8" s="163" t="s">
        <v>308</v>
      </c>
      <c r="H8" s="163" t="s">
        <v>309</v>
      </c>
      <c r="I8" s="163" t="s">
        <v>310</v>
      </c>
      <c r="J8" s="163" t="s">
        <v>311</v>
      </c>
    </row>
    <row r="9" spans="2:10" ht="16.5">
      <c r="B9" s="162"/>
      <c r="C9" s="163" t="s">
        <v>312</v>
      </c>
      <c r="D9" s="163" t="s">
        <v>313</v>
      </c>
      <c r="E9" s="163" t="s">
        <v>314</v>
      </c>
      <c r="F9" s="163" t="s">
        <v>315</v>
      </c>
      <c r="G9" s="163" t="s">
        <v>316</v>
      </c>
      <c r="H9" s="163" t="s">
        <v>317</v>
      </c>
      <c r="I9" s="163" t="s">
        <v>318</v>
      </c>
      <c r="J9" s="163" t="s">
        <v>319</v>
      </c>
    </row>
    <row r="10" spans="2:10" ht="16.5">
      <c r="B10" s="162"/>
      <c r="C10" s="163" t="s">
        <v>320</v>
      </c>
      <c r="D10" s="163" t="s">
        <v>321</v>
      </c>
      <c r="E10" s="163" t="s">
        <v>322</v>
      </c>
      <c r="F10" s="163" t="s">
        <v>323</v>
      </c>
      <c r="G10" s="163" t="s">
        <v>324</v>
      </c>
      <c r="H10" s="163" t="s">
        <v>325</v>
      </c>
      <c r="I10" s="163" t="s">
        <v>326</v>
      </c>
      <c r="J10" s="163" t="s">
        <v>327</v>
      </c>
    </row>
    <row r="11" spans="2:10" ht="16.5">
      <c r="B11" s="162"/>
      <c r="C11" s="163" t="s">
        <v>328</v>
      </c>
      <c r="D11" s="163" t="s">
        <v>329</v>
      </c>
      <c r="E11" s="163" t="s">
        <v>330</v>
      </c>
      <c r="F11" s="163" t="s">
        <v>331</v>
      </c>
      <c r="G11" s="163" t="s">
        <v>332</v>
      </c>
      <c r="H11" s="163" t="s">
        <v>333</v>
      </c>
      <c r="I11" s="163" t="s">
        <v>334</v>
      </c>
      <c r="J11" s="163" t="s">
        <v>335</v>
      </c>
    </row>
    <row r="12" spans="2:4" ht="16.5">
      <c r="B12" s="156"/>
      <c r="D12" s="64"/>
    </row>
    <row r="13" spans="2:7" ht="16.5">
      <c r="B13" s="164" t="s">
        <v>336</v>
      </c>
      <c r="C13" s="159"/>
      <c r="D13" s="158"/>
      <c r="E13" s="159"/>
      <c r="F13" s="159"/>
      <c r="G13" s="159"/>
    </row>
    <row r="14" spans="2:7" ht="16.5">
      <c r="B14" s="164" t="s">
        <v>337</v>
      </c>
      <c r="C14" s="159"/>
      <c r="D14" s="158"/>
      <c r="E14" s="159"/>
      <c r="F14" s="159"/>
      <c r="G14" s="159"/>
    </row>
    <row r="15" spans="2:7" ht="16.5">
      <c r="B15" s="156"/>
      <c r="C15" s="159"/>
      <c r="D15" s="158"/>
      <c r="E15" s="159"/>
      <c r="F15" s="159"/>
      <c r="G15" s="159"/>
    </row>
    <row r="17" spans="2:4" ht="16.5">
      <c r="B17" s="65" t="s">
        <v>338</v>
      </c>
      <c r="D17" s="64"/>
    </row>
    <row r="18" ht="16.5">
      <c r="D18" s="64"/>
    </row>
    <row r="19" spans="3:4" ht="16.5">
      <c r="C19" s="99"/>
      <c r="D19" s="64"/>
    </row>
    <row r="20" ht="16.5">
      <c r="D20" s="64"/>
    </row>
    <row r="21" spans="2:10" ht="16.5">
      <c r="B21" s="165"/>
      <c r="D21" s="64"/>
      <c r="J21" s="166"/>
    </row>
    <row r="22" spans="2:13" ht="16.5">
      <c r="B22" s="167" t="str">
        <f>'男乙賽程'!S7</f>
        <v>ALPS-TW</v>
      </c>
      <c r="C22" s="324" t="s">
        <v>554</v>
      </c>
      <c r="D22" s="169"/>
      <c r="E22" s="169"/>
      <c r="F22" s="169"/>
      <c r="G22" s="169"/>
      <c r="K22" s="170"/>
      <c r="L22" s="168"/>
      <c r="M22" s="169"/>
    </row>
    <row r="23" spans="2:13" ht="16.5">
      <c r="B23" s="171"/>
      <c r="C23" s="172"/>
      <c r="D23" s="173"/>
      <c r="E23" s="169"/>
      <c r="F23" s="169"/>
      <c r="G23" s="169"/>
      <c r="K23" s="170"/>
      <c r="L23" s="168"/>
      <c r="M23" s="169"/>
    </row>
    <row r="24" spans="2:13" ht="16.5">
      <c r="B24" s="174" t="s">
        <v>339</v>
      </c>
      <c r="C24" s="175"/>
      <c r="D24" s="176" t="str">
        <f>B22</f>
        <v>ALPS-TW</v>
      </c>
      <c r="E24" s="169"/>
      <c r="F24" s="169"/>
      <c r="G24" s="169"/>
      <c r="K24" s="166"/>
      <c r="L24" s="175"/>
      <c r="M24" s="169"/>
    </row>
    <row r="25" spans="2:13" ht="16.5">
      <c r="B25" s="604" t="s">
        <v>900</v>
      </c>
      <c r="C25" s="175"/>
      <c r="D25" s="178"/>
      <c r="E25" s="169"/>
      <c r="F25" s="169"/>
      <c r="G25" s="169"/>
      <c r="K25" s="166"/>
      <c r="L25" s="175"/>
      <c r="M25" s="169"/>
    </row>
    <row r="26" spans="2:13" ht="16.5">
      <c r="B26" s="179"/>
      <c r="C26" s="180"/>
      <c r="D26" s="178"/>
      <c r="E26" s="181"/>
      <c r="F26" s="169"/>
      <c r="G26" s="169"/>
      <c r="K26" s="170"/>
      <c r="L26" s="180"/>
      <c r="M26" s="169"/>
    </row>
    <row r="27" spans="2:13" ht="16.5">
      <c r="B27" s="167" t="str">
        <f>H102</f>
        <v>霖完未JACK</v>
      </c>
      <c r="C27" s="324" t="s">
        <v>558</v>
      </c>
      <c r="D27" s="178"/>
      <c r="E27" s="181"/>
      <c r="F27" s="169"/>
      <c r="G27" s="169"/>
      <c r="J27" s="166"/>
      <c r="K27" s="170"/>
      <c r="L27" s="182"/>
      <c r="M27" s="169"/>
    </row>
    <row r="28" spans="2:13" ht="16.5">
      <c r="B28" s="183"/>
      <c r="C28" s="180"/>
      <c r="D28" s="178"/>
      <c r="E28" s="181"/>
      <c r="F28" s="169"/>
      <c r="G28" s="169"/>
      <c r="K28" s="170"/>
      <c r="L28" s="180"/>
      <c r="M28" s="169"/>
    </row>
    <row r="29" spans="2:13" ht="16.5">
      <c r="B29" s="170"/>
      <c r="C29" s="184"/>
      <c r="D29" s="174" t="s">
        <v>340</v>
      </c>
      <c r="E29" s="184"/>
      <c r="F29" s="169"/>
      <c r="G29" s="169"/>
      <c r="K29" s="170"/>
      <c r="L29" s="184"/>
      <c r="M29" s="166"/>
    </row>
    <row r="30" spans="2:13" ht="16.5">
      <c r="B30" s="170"/>
      <c r="C30" s="180"/>
      <c r="D30" s="611" t="s">
        <v>913</v>
      </c>
      <c r="K30" s="170"/>
      <c r="L30" s="180"/>
      <c r="M30" s="169"/>
    </row>
    <row r="31" spans="2:13" ht="16.5">
      <c r="B31" s="170"/>
      <c r="C31" s="180"/>
      <c r="D31" s="178"/>
      <c r="K31" s="170"/>
      <c r="L31" s="180"/>
      <c r="M31" s="169"/>
    </row>
    <row r="32" spans="2:13" ht="16.5">
      <c r="B32" s="166"/>
      <c r="C32" s="175"/>
      <c r="D32" s="178"/>
      <c r="K32" s="166"/>
      <c r="L32" s="175"/>
      <c r="M32" s="169"/>
    </row>
    <row r="33" spans="2:13" ht="16.5">
      <c r="B33" s="185"/>
      <c r="C33" s="168"/>
      <c r="D33" s="178"/>
      <c r="F33" s="193" t="str">
        <f>D24</f>
        <v>ALPS-TW</v>
      </c>
      <c r="J33" s="166"/>
      <c r="K33" s="170"/>
      <c r="L33" s="168"/>
      <c r="M33" s="169"/>
    </row>
    <row r="34" spans="2:13" ht="16.5">
      <c r="B34" s="186" t="str">
        <f>H107</f>
        <v>handshake</v>
      </c>
      <c r="C34" s="324" t="s">
        <v>558</v>
      </c>
      <c r="D34" s="178"/>
      <c r="E34" s="187"/>
      <c r="F34" s="188"/>
      <c r="G34" s="169"/>
      <c r="K34" s="170"/>
      <c r="L34" s="168"/>
      <c r="M34" s="169"/>
    </row>
    <row r="35" spans="2:13" ht="16.5">
      <c r="B35" s="171"/>
      <c r="C35" s="189"/>
      <c r="D35" s="176" t="str">
        <f>B34</f>
        <v>handshake</v>
      </c>
      <c r="E35" s="181"/>
      <c r="F35" s="178"/>
      <c r="G35" s="169"/>
      <c r="K35" s="166"/>
      <c r="L35" s="168"/>
      <c r="M35" s="169"/>
    </row>
    <row r="36" spans="2:13" ht="16.5">
      <c r="B36" s="174" t="s">
        <v>341</v>
      </c>
      <c r="C36" s="180"/>
      <c r="D36" s="173"/>
      <c r="E36" s="169"/>
      <c r="F36" s="178"/>
      <c r="G36" s="169"/>
      <c r="K36" s="170"/>
      <c r="L36" s="180"/>
      <c r="M36" s="169"/>
    </row>
    <row r="37" spans="2:13" ht="16.5">
      <c r="B37" s="604" t="s">
        <v>901</v>
      </c>
      <c r="C37" s="180"/>
      <c r="D37" s="169"/>
      <c r="E37" s="169"/>
      <c r="F37" s="178"/>
      <c r="G37" s="169"/>
      <c r="K37" s="170"/>
      <c r="L37" s="180"/>
      <c r="M37" s="169"/>
    </row>
    <row r="38" spans="2:13" ht="16.5">
      <c r="B38" s="179"/>
      <c r="C38" s="168"/>
      <c r="D38" s="169"/>
      <c r="E38" s="169"/>
      <c r="F38" s="178"/>
      <c r="G38" s="169"/>
      <c r="K38" s="170"/>
      <c r="L38" s="168"/>
      <c r="M38" s="169"/>
    </row>
    <row r="39" spans="2:13" ht="16.5">
      <c r="B39" s="167" t="str">
        <f>'男乙賽程'!S49</f>
        <v>Alps琨</v>
      </c>
      <c r="C39" s="324" t="s">
        <v>559</v>
      </c>
      <c r="D39" s="169"/>
      <c r="E39" s="169"/>
      <c r="F39" s="178"/>
      <c r="G39" s="169"/>
      <c r="J39" s="166"/>
      <c r="K39" s="170"/>
      <c r="L39" s="168"/>
      <c r="M39" s="169"/>
    </row>
    <row r="40" spans="2:13" ht="25.5">
      <c r="B40" s="183"/>
      <c r="C40" s="168"/>
      <c r="D40" s="169"/>
      <c r="E40" s="169"/>
      <c r="F40" s="178"/>
      <c r="G40" s="169"/>
      <c r="H40" s="190"/>
      <c r="K40" s="170"/>
      <c r="L40" s="168"/>
      <c r="M40" s="169"/>
    </row>
    <row r="41" spans="2:13" ht="16.5">
      <c r="B41" s="166"/>
      <c r="C41" s="175"/>
      <c r="D41" s="169"/>
      <c r="F41" s="178"/>
      <c r="G41" s="191" t="s">
        <v>342</v>
      </c>
      <c r="H41" s="192"/>
      <c r="I41" s="193" t="str">
        <f>F33</f>
        <v>ALPS-TW</v>
      </c>
      <c r="K41" s="166"/>
      <c r="L41" s="175"/>
      <c r="M41" s="169"/>
    </row>
    <row r="42" spans="2:13" ht="19.5">
      <c r="B42" s="170"/>
      <c r="C42" s="180"/>
      <c r="D42" s="169"/>
      <c r="F42" s="611" t="s">
        <v>923</v>
      </c>
      <c r="G42" s="195" t="s">
        <v>259</v>
      </c>
      <c r="H42" s="196"/>
      <c r="I42" s="197"/>
      <c r="K42" s="170"/>
      <c r="L42" s="180"/>
      <c r="M42" s="169"/>
    </row>
    <row r="43" spans="2:13" ht="16.5">
      <c r="B43" s="170"/>
      <c r="C43" s="182"/>
      <c r="D43" s="169"/>
      <c r="E43" s="198"/>
      <c r="F43" s="178"/>
      <c r="G43" s="198"/>
      <c r="I43" s="92"/>
      <c r="K43" s="170"/>
      <c r="L43" s="182"/>
      <c r="M43" s="169"/>
    </row>
    <row r="44" spans="4:9" ht="16.5">
      <c r="D44" s="64"/>
      <c r="E44" s="169"/>
      <c r="F44" s="178"/>
      <c r="G44" s="169"/>
      <c r="I44" s="92"/>
    </row>
    <row r="45" spans="2:10" ht="16.5">
      <c r="B45" s="77"/>
      <c r="D45" s="64"/>
      <c r="E45" s="169"/>
      <c r="F45" s="178"/>
      <c r="G45" s="169"/>
      <c r="I45" s="92"/>
      <c r="J45" s="166"/>
    </row>
    <row r="46" spans="2:13" ht="16.5">
      <c r="B46" s="167" t="str">
        <f>'男乙賽程'!S31</f>
        <v>米奇與勁大隻傑</v>
      </c>
      <c r="C46" s="324" t="s">
        <v>561</v>
      </c>
      <c r="D46" s="169"/>
      <c r="E46" s="169"/>
      <c r="F46" s="178"/>
      <c r="G46" s="169"/>
      <c r="I46" s="92"/>
      <c r="K46" s="170"/>
      <c r="L46" s="168"/>
      <c r="M46" s="169"/>
    </row>
    <row r="47" spans="2:13" ht="16.5">
      <c r="B47" s="179"/>
      <c r="C47" s="172"/>
      <c r="D47" s="173"/>
      <c r="E47" s="169"/>
      <c r="F47" s="178"/>
      <c r="G47" s="169"/>
      <c r="I47" s="92"/>
      <c r="K47" s="170"/>
      <c r="L47" s="168"/>
      <c r="M47" s="169"/>
    </row>
    <row r="48" spans="2:13" ht="16.5">
      <c r="B48" s="174" t="s">
        <v>343</v>
      </c>
      <c r="C48" s="175"/>
      <c r="D48" s="176" t="str">
        <f>B46</f>
        <v>米奇與勁大隻傑</v>
      </c>
      <c r="E48" s="169"/>
      <c r="F48" s="178"/>
      <c r="G48" s="169"/>
      <c r="I48" s="92"/>
      <c r="K48" s="166"/>
      <c r="L48" s="175"/>
      <c r="M48" s="169"/>
    </row>
    <row r="49" spans="2:13" ht="16.5">
      <c r="B49" s="604" t="s">
        <v>902</v>
      </c>
      <c r="C49" s="175"/>
      <c r="D49" s="178"/>
      <c r="E49" s="169"/>
      <c r="F49" s="178"/>
      <c r="G49" s="169"/>
      <c r="I49" s="92"/>
      <c r="K49" s="166"/>
      <c r="L49" s="175"/>
      <c r="M49" s="169"/>
    </row>
    <row r="50" spans="2:13" ht="16.5">
      <c r="B50" s="177"/>
      <c r="C50" s="180"/>
      <c r="D50" s="178"/>
      <c r="E50" s="199"/>
      <c r="F50" s="200"/>
      <c r="G50" s="169"/>
      <c r="I50" s="92"/>
      <c r="K50" s="170"/>
      <c r="L50" s="180"/>
      <c r="M50" s="169"/>
    </row>
    <row r="51" spans="2:13" ht="16.5">
      <c r="B51" s="167" t="str">
        <f>H106</f>
        <v>傻烽</v>
      </c>
      <c r="C51" s="324" t="s">
        <v>558</v>
      </c>
      <c r="D51" s="178"/>
      <c r="E51" s="168"/>
      <c r="F51" s="193" t="str">
        <f>D48</f>
        <v>米奇與勁大隻傑</v>
      </c>
      <c r="G51" s="169"/>
      <c r="I51" s="92"/>
      <c r="J51" s="166"/>
      <c r="K51" s="170"/>
      <c r="L51" s="182"/>
      <c r="M51" s="169"/>
    </row>
    <row r="52" spans="2:13" ht="16.5">
      <c r="B52" s="183"/>
      <c r="C52" s="180"/>
      <c r="D52" s="178"/>
      <c r="E52" s="168"/>
      <c r="F52" s="169"/>
      <c r="G52" s="169"/>
      <c r="I52" s="92"/>
      <c r="K52" s="170"/>
      <c r="L52" s="180"/>
      <c r="M52" s="169"/>
    </row>
    <row r="53" spans="2:13" ht="16.5">
      <c r="B53" s="170"/>
      <c r="C53" s="184"/>
      <c r="D53" s="174" t="s">
        <v>344</v>
      </c>
      <c r="G53" s="169"/>
      <c r="I53" s="92"/>
      <c r="K53" s="170"/>
      <c r="L53" s="184"/>
      <c r="M53" s="166"/>
    </row>
    <row r="54" spans="2:13" ht="16.5">
      <c r="B54" s="170"/>
      <c r="C54" s="180"/>
      <c r="D54" s="611" t="s">
        <v>914</v>
      </c>
      <c r="G54" s="169"/>
      <c r="I54" s="178"/>
      <c r="K54" s="170"/>
      <c r="L54" s="180"/>
      <c r="M54" s="169"/>
    </row>
    <row r="55" spans="2:13" ht="16.5">
      <c r="B55" s="170"/>
      <c r="C55" s="180"/>
      <c r="D55" s="610" t="s">
        <v>915</v>
      </c>
      <c r="G55" s="169"/>
      <c r="I55" s="92"/>
      <c r="K55" s="170"/>
      <c r="L55" s="180"/>
      <c r="M55" s="169"/>
    </row>
    <row r="56" spans="2:13" ht="16.5">
      <c r="B56" s="166"/>
      <c r="C56" s="175"/>
      <c r="D56" s="178"/>
      <c r="G56" s="169"/>
      <c r="I56" s="178"/>
      <c r="K56" s="166"/>
      <c r="L56" s="175"/>
      <c r="M56" s="169"/>
    </row>
    <row r="57" spans="2:13" ht="16.5">
      <c r="B57" s="183"/>
      <c r="C57" s="168"/>
      <c r="D57" s="178"/>
      <c r="E57" s="169"/>
      <c r="I57" s="178"/>
      <c r="J57" s="166"/>
      <c r="K57" s="170"/>
      <c r="L57" s="168"/>
      <c r="M57" s="169"/>
    </row>
    <row r="58" spans="2:13" ht="16.5">
      <c r="B58" s="167" t="str">
        <f>H103</f>
        <v>我叫你</v>
      </c>
      <c r="C58" s="324" t="s">
        <v>558</v>
      </c>
      <c r="D58" s="178"/>
      <c r="F58" s="99"/>
      <c r="H58" s="169"/>
      <c r="I58" s="178"/>
      <c r="K58" s="170"/>
      <c r="L58" s="168"/>
      <c r="M58" s="169"/>
    </row>
    <row r="59" spans="2:13" ht="16.5">
      <c r="B59" s="171"/>
      <c r="C59" s="189"/>
      <c r="D59" s="176" t="str">
        <f>B63</f>
        <v>Zlatan</v>
      </c>
      <c r="F59" s="202" t="str">
        <f>F51</f>
        <v>米奇與勁大隻傑</v>
      </c>
      <c r="G59" s="203"/>
      <c r="H59" s="169"/>
      <c r="I59" s="92"/>
      <c r="K59" s="166"/>
      <c r="L59" s="168"/>
      <c r="M59" s="169"/>
    </row>
    <row r="60" spans="2:13" ht="16.5">
      <c r="B60" s="174" t="s">
        <v>345</v>
      </c>
      <c r="C60" s="180"/>
      <c r="D60" s="201"/>
      <c r="F60" s="197"/>
      <c r="H60" s="169"/>
      <c r="I60" s="178"/>
      <c r="K60" s="170"/>
      <c r="L60" s="180"/>
      <c r="M60" s="169"/>
    </row>
    <row r="61" spans="2:13" ht="16.5">
      <c r="B61" s="604" t="s">
        <v>903</v>
      </c>
      <c r="C61" s="180"/>
      <c r="D61" s="204"/>
      <c r="F61" s="92"/>
      <c r="G61" s="205" t="s">
        <v>346</v>
      </c>
      <c r="H61" s="169"/>
      <c r="I61" s="178"/>
      <c r="K61" s="170"/>
      <c r="L61" s="180"/>
      <c r="M61" s="169"/>
    </row>
    <row r="62" spans="2:13" ht="16.5">
      <c r="B62" s="179"/>
      <c r="C62" s="168"/>
      <c r="D62" s="169"/>
      <c r="F62" s="611" t="s">
        <v>925</v>
      </c>
      <c r="G62" s="206" t="s">
        <v>268</v>
      </c>
      <c r="H62" s="207" t="str">
        <f>F59</f>
        <v>米奇與勁大隻傑</v>
      </c>
      <c r="I62" s="208"/>
      <c r="K62" s="170"/>
      <c r="L62" s="168"/>
      <c r="M62" s="169"/>
    </row>
    <row r="63" spans="2:13" ht="16.5">
      <c r="B63" s="167" t="str">
        <f>'男乙賽程'!S25</f>
        <v>Zlatan</v>
      </c>
      <c r="C63" s="324" t="s">
        <v>555</v>
      </c>
      <c r="D63" s="169"/>
      <c r="F63" s="92"/>
      <c r="G63" s="198"/>
      <c r="H63" s="175"/>
      <c r="I63" s="92"/>
      <c r="J63" s="166"/>
      <c r="K63" s="170"/>
      <c r="L63" s="168"/>
      <c r="M63" s="169"/>
    </row>
    <row r="64" spans="2:13" ht="16.5">
      <c r="B64" s="183"/>
      <c r="C64" s="168"/>
      <c r="D64" s="169"/>
      <c r="F64" s="92"/>
      <c r="H64" s="175"/>
      <c r="I64" s="92"/>
      <c r="K64" s="170"/>
      <c r="L64" s="168"/>
      <c r="M64" s="169"/>
    </row>
    <row r="65" spans="2:13" ht="16.5">
      <c r="B65" s="166"/>
      <c r="C65" s="175"/>
      <c r="D65" s="169"/>
      <c r="E65" s="209"/>
      <c r="F65" s="176" t="str">
        <f>F80</f>
        <v>SKTL</v>
      </c>
      <c r="I65" s="92"/>
      <c r="K65" s="205" t="s">
        <v>347</v>
      </c>
      <c r="L65" s="169"/>
      <c r="M65" s="169"/>
    </row>
    <row r="66" spans="2:12" ht="16.5">
      <c r="B66" s="73"/>
      <c r="D66" s="64"/>
      <c r="F66" s="99"/>
      <c r="I66" s="210"/>
      <c r="J66" s="211"/>
      <c r="K66" s="206" t="s">
        <v>259</v>
      </c>
      <c r="L66" s="176" t="str">
        <f>I41</f>
        <v>ALPS-TW</v>
      </c>
    </row>
    <row r="67" spans="4:9" ht="16.5">
      <c r="D67" s="64"/>
      <c r="I67" s="611" t="s">
        <v>924</v>
      </c>
    </row>
    <row r="68" spans="2:9" ht="16.5">
      <c r="B68" s="165"/>
      <c r="D68" s="64"/>
      <c r="I68" s="92"/>
    </row>
    <row r="69" spans="2:9" ht="16.5">
      <c r="B69" s="167" t="str">
        <f>'男乙賽程'!S19</f>
        <v>SCAA YA</v>
      </c>
      <c r="C69" s="324" t="s">
        <v>556</v>
      </c>
      <c r="D69" s="169"/>
      <c r="E69" s="169"/>
      <c r="F69" s="169"/>
      <c r="G69" s="169"/>
      <c r="I69" s="92"/>
    </row>
    <row r="70" spans="2:9" ht="16.5">
      <c r="B70" s="171"/>
      <c r="C70" s="172"/>
      <c r="D70" s="173"/>
      <c r="E70" s="169"/>
      <c r="F70" s="169"/>
      <c r="G70" s="169"/>
      <c r="I70" s="92"/>
    </row>
    <row r="71" spans="2:9" ht="16.5">
      <c r="B71" s="174" t="s">
        <v>348</v>
      </c>
      <c r="C71" s="175"/>
      <c r="D71" s="176" t="str">
        <f>B69</f>
        <v>SCAA YA</v>
      </c>
      <c r="E71" s="169"/>
      <c r="F71" s="169"/>
      <c r="G71" s="169"/>
      <c r="I71" s="92"/>
    </row>
    <row r="72" spans="2:9" ht="16.5">
      <c r="B72" s="604" t="s">
        <v>904</v>
      </c>
      <c r="C72" s="175"/>
      <c r="D72" s="178"/>
      <c r="E72" s="169"/>
      <c r="F72" s="169"/>
      <c r="G72" s="169"/>
      <c r="I72" s="92"/>
    </row>
    <row r="73" spans="2:9" ht="16.5">
      <c r="B73" s="179"/>
      <c r="C73" s="180"/>
      <c r="D73" s="178"/>
      <c r="E73" s="181"/>
      <c r="F73" s="169"/>
      <c r="G73" s="169"/>
      <c r="I73" s="92"/>
    </row>
    <row r="74" spans="2:9" ht="16.5">
      <c r="B74" s="167" t="str">
        <f>H104</f>
        <v>熱情的麻鷹</v>
      </c>
      <c r="C74" s="324" t="s">
        <v>558</v>
      </c>
      <c r="D74" s="178"/>
      <c r="E74" s="181"/>
      <c r="F74" s="169"/>
      <c r="G74" s="169"/>
      <c r="I74" s="92"/>
    </row>
    <row r="75" spans="2:9" ht="16.5">
      <c r="B75" s="183"/>
      <c r="C75" s="180"/>
      <c r="D75" s="178"/>
      <c r="E75" s="181"/>
      <c r="F75" s="169"/>
      <c r="G75" s="169"/>
      <c r="I75" s="92"/>
    </row>
    <row r="76" spans="2:9" ht="16.5">
      <c r="B76" s="170"/>
      <c r="C76" s="184"/>
      <c r="D76" s="174" t="s">
        <v>349</v>
      </c>
      <c r="E76" s="184"/>
      <c r="F76" s="169"/>
      <c r="G76" s="169"/>
      <c r="I76" s="92"/>
    </row>
    <row r="77" spans="2:9" ht="16.5">
      <c r="B77" s="170"/>
      <c r="C77" s="180"/>
      <c r="D77" s="611" t="s">
        <v>916</v>
      </c>
      <c r="I77" s="92"/>
    </row>
    <row r="78" spans="2:9" ht="16.5">
      <c r="B78" s="170"/>
      <c r="C78" s="180"/>
      <c r="D78" s="610" t="s">
        <v>917</v>
      </c>
      <c r="I78" s="92"/>
    </row>
    <row r="79" spans="2:9" ht="16.5">
      <c r="B79" s="166"/>
      <c r="C79" s="175"/>
      <c r="D79" s="178"/>
      <c r="I79" s="92"/>
    </row>
    <row r="80" spans="2:9" ht="16.5">
      <c r="B80" s="185"/>
      <c r="C80" s="168"/>
      <c r="D80" s="178"/>
      <c r="F80" s="193" t="str">
        <f>D82</f>
        <v>SKTL</v>
      </c>
      <c r="I80" s="92"/>
    </row>
    <row r="81" spans="2:9" ht="16.5">
      <c r="B81" s="186" t="str">
        <f>H105</f>
        <v>後生仔</v>
      </c>
      <c r="C81" s="324" t="s">
        <v>558</v>
      </c>
      <c r="D81" s="178"/>
      <c r="E81" s="187"/>
      <c r="F81" s="188"/>
      <c r="G81" s="169"/>
      <c r="I81" s="92"/>
    </row>
    <row r="82" spans="2:9" ht="16.5">
      <c r="B82" s="171"/>
      <c r="C82" s="189"/>
      <c r="D82" s="176" t="str">
        <f>B86</f>
        <v>SKTL</v>
      </c>
      <c r="E82" s="181"/>
      <c r="F82" s="178"/>
      <c r="G82" s="169"/>
      <c r="I82" s="92"/>
    </row>
    <row r="83" spans="2:9" ht="16.5">
      <c r="B83" s="174" t="s">
        <v>350</v>
      </c>
      <c r="C83" s="180"/>
      <c r="D83" s="173"/>
      <c r="E83" s="169"/>
      <c r="F83" s="178"/>
      <c r="G83" s="169"/>
      <c r="I83" s="92"/>
    </row>
    <row r="84" spans="2:9" ht="16.5">
      <c r="B84" s="604" t="s">
        <v>905</v>
      </c>
      <c r="C84" s="180"/>
      <c r="D84" s="169"/>
      <c r="E84" s="169"/>
      <c r="F84" s="178"/>
      <c r="G84" s="169"/>
      <c r="I84" s="92"/>
    </row>
    <row r="85" spans="2:9" ht="16.5">
      <c r="B85" s="179"/>
      <c r="C85" s="168"/>
      <c r="D85" s="169"/>
      <c r="E85" s="169"/>
      <c r="F85" s="178"/>
      <c r="G85" s="169"/>
      <c r="I85" s="92"/>
    </row>
    <row r="86" spans="2:9" ht="16.5">
      <c r="B86" s="167" t="str">
        <f>'男乙賽程'!S37</f>
        <v>SKTL</v>
      </c>
      <c r="C86" s="324" t="s">
        <v>560</v>
      </c>
      <c r="D86" s="169"/>
      <c r="E86" s="169"/>
      <c r="F86" s="178"/>
      <c r="G86" s="169"/>
      <c r="I86" s="92"/>
    </row>
    <row r="87" spans="2:9" ht="25.5">
      <c r="B87" s="183"/>
      <c r="C87" s="168"/>
      <c r="D87" s="169"/>
      <c r="E87" s="169"/>
      <c r="F87" s="178"/>
      <c r="G87" s="169"/>
      <c r="H87" s="190"/>
      <c r="I87" s="92"/>
    </row>
    <row r="88" spans="2:9" ht="16.5">
      <c r="B88" s="166"/>
      <c r="C88" s="175"/>
      <c r="D88" s="169"/>
      <c r="F88" s="178"/>
      <c r="G88" s="191" t="s">
        <v>351</v>
      </c>
      <c r="H88" s="192"/>
      <c r="I88" s="193" t="str">
        <f>F98</f>
        <v>BnW</v>
      </c>
    </row>
    <row r="89" spans="2:8" ht="19.5">
      <c r="B89" s="170"/>
      <c r="C89" s="180"/>
      <c r="D89" s="169"/>
      <c r="F89" s="194"/>
      <c r="G89" s="612" t="s">
        <v>920</v>
      </c>
      <c r="H89" s="196"/>
    </row>
    <row r="90" spans="2:7" ht="16.5">
      <c r="B90" s="170"/>
      <c r="C90" s="182"/>
      <c r="D90" s="169"/>
      <c r="E90" s="198"/>
      <c r="F90" s="178"/>
      <c r="G90" s="198"/>
    </row>
    <row r="91" spans="4:7" ht="16.5">
      <c r="D91" s="64"/>
      <c r="E91" s="169"/>
      <c r="F91" s="178"/>
      <c r="G91" s="169"/>
    </row>
    <row r="92" spans="2:12" ht="16.5">
      <c r="B92" s="77"/>
      <c r="D92" s="64"/>
      <c r="E92" s="169"/>
      <c r="F92" s="178"/>
      <c r="G92" s="169"/>
      <c r="K92" s="212" t="s">
        <v>261</v>
      </c>
      <c r="L92" s="213" t="s">
        <v>267</v>
      </c>
    </row>
    <row r="93" spans="2:12" ht="16.5">
      <c r="B93" s="167" t="str">
        <f>'男乙賽程'!S43</f>
        <v>紅藍</v>
      </c>
      <c r="C93" s="324" t="s">
        <v>562</v>
      </c>
      <c r="D93" s="169"/>
      <c r="E93" s="169"/>
      <c r="F93" s="178"/>
      <c r="G93" s="169"/>
      <c r="K93" s="212" t="s">
        <v>263</v>
      </c>
      <c r="L93" s="213" t="s">
        <v>270</v>
      </c>
    </row>
    <row r="94" spans="2:12" ht="16.5">
      <c r="B94" s="179"/>
      <c r="C94" s="172"/>
      <c r="D94" s="173"/>
      <c r="E94" s="169"/>
      <c r="F94" s="178"/>
      <c r="G94" s="169"/>
      <c r="K94" s="212" t="s">
        <v>266</v>
      </c>
      <c r="L94" s="213" t="s">
        <v>352</v>
      </c>
    </row>
    <row r="95" spans="2:12" ht="16.5">
      <c r="B95" s="174" t="s">
        <v>353</v>
      </c>
      <c r="C95" s="175"/>
      <c r="D95" s="176" t="str">
        <f>B93</f>
        <v>紅藍</v>
      </c>
      <c r="E95" s="169"/>
      <c r="F95" s="178"/>
      <c r="G95" s="169"/>
      <c r="K95" s="212" t="s">
        <v>269</v>
      </c>
      <c r="L95" s="213" t="s">
        <v>354</v>
      </c>
    </row>
    <row r="96" spans="2:12" ht="16.5">
      <c r="B96" s="604" t="s">
        <v>906</v>
      </c>
      <c r="C96" s="175"/>
      <c r="D96" s="178"/>
      <c r="E96" s="169"/>
      <c r="F96" s="178"/>
      <c r="G96" s="169"/>
      <c r="K96" s="212" t="s">
        <v>355</v>
      </c>
      <c r="L96" s="213" t="s">
        <v>356</v>
      </c>
    </row>
    <row r="97" spans="2:12" ht="16.5">
      <c r="B97" s="177"/>
      <c r="C97" s="180"/>
      <c r="D97" s="178"/>
      <c r="E97" s="199"/>
      <c r="F97" s="200"/>
      <c r="G97" s="169"/>
      <c r="K97" s="212" t="s">
        <v>357</v>
      </c>
      <c r="L97" s="213" t="s">
        <v>908</v>
      </c>
    </row>
    <row r="98" spans="2:12" ht="16.5">
      <c r="B98" s="167" t="str">
        <f>H108</f>
        <v>隨心 2</v>
      </c>
      <c r="C98" s="324" t="s">
        <v>558</v>
      </c>
      <c r="D98" s="178"/>
      <c r="E98" s="168"/>
      <c r="F98" s="193" t="str">
        <f>D106</f>
        <v>BnW</v>
      </c>
      <c r="G98" s="169"/>
      <c r="K98" s="212" t="s">
        <v>359</v>
      </c>
      <c r="L98" s="213" t="s">
        <v>360</v>
      </c>
    </row>
    <row r="99" spans="2:12" ht="16.5">
      <c r="B99" s="183"/>
      <c r="C99" s="180"/>
      <c r="D99" s="178"/>
      <c r="E99" s="168"/>
      <c r="F99" s="169"/>
      <c r="G99" s="169"/>
      <c r="K99" s="212" t="s">
        <v>361</v>
      </c>
      <c r="L99" s="213" t="s">
        <v>362</v>
      </c>
    </row>
    <row r="100" spans="2:7" ht="16.5">
      <c r="B100" s="170"/>
      <c r="C100" s="184"/>
      <c r="D100" s="174" t="s">
        <v>363</v>
      </c>
      <c r="G100" s="169"/>
    </row>
    <row r="101" spans="2:9" ht="16.5">
      <c r="B101" s="170"/>
      <c r="C101" s="180"/>
      <c r="D101" s="611" t="s">
        <v>918</v>
      </c>
      <c r="G101" s="169"/>
      <c r="H101" s="193" t="str">
        <f>'男乙賽程'!S8</f>
        <v>柏陞</v>
      </c>
      <c r="I101" s="214" t="s">
        <v>160</v>
      </c>
    </row>
    <row r="102" spans="2:9" ht="16.5">
      <c r="B102" s="170"/>
      <c r="C102" s="180"/>
      <c r="D102" s="178"/>
      <c r="G102" s="169"/>
      <c r="H102" s="193" t="str">
        <f>'男乙賽程'!S14</f>
        <v>霖完未JACK</v>
      </c>
      <c r="I102" s="214" t="s">
        <v>157</v>
      </c>
    </row>
    <row r="103" spans="2:9" ht="16.5">
      <c r="B103" s="166"/>
      <c r="C103" s="175"/>
      <c r="D103" s="178"/>
      <c r="G103" s="169"/>
      <c r="H103" s="193" t="str">
        <f>'男乙賽程'!S20</f>
        <v>我叫你</v>
      </c>
      <c r="I103" s="214" t="s">
        <v>194</v>
      </c>
    </row>
    <row r="104" spans="2:9" ht="16.5">
      <c r="B104" s="183"/>
      <c r="C104" s="168"/>
      <c r="D104" s="178"/>
      <c r="E104" s="169"/>
      <c r="H104" s="193" t="str">
        <f>'男乙賽程'!S26</f>
        <v>熱情的麻鷹</v>
      </c>
      <c r="I104" s="214" t="s">
        <v>195</v>
      </c>
    </row>
    <row r="105" spans="2:9" ht="16.5">
      <c r="B105" s="167" t="str">
        <f>H101</f>
        <v>柏陞</v>
      </c>
      <c r="C105" s="324" t="s">
        <v>558</v>
      </c>
      <c r="D105" s="178"/>
      <c r="F105" s="99"/>
      <c r="H105" s="193" t="str">
        <f>'男乙賽程'!S32</f>
        <v>後生仔</v>
      </c>
      <c r="I105" s="214" t="s">
        <v>149</v>
      </c>
    </row>
    <row r="106" spans="2:9" ht="16.5">
      <c r="B106" s="171"/>
      <c r="C106" s="189"/>
      <c r="D106" s="176" t="str">
        <f>B110</f>
        <v>BnW</v>
      </c>
      <c r="H106" s="193" t="str">
        <f>'男乙賽程'!S38</f>
        <v>傻烽</v>
      </c>
      <c r="I106" s="214" t="s">
        <v>146</v>
      </c>
    </row>
    <row r="107" spans="2:9" ht="16.5">
      <c r="B107" s="174" t="s">
        <v>364</v>
      </c>
      <c r="C107" s="180"/>
      <c r="D107" s="201"/>
      <c r="H107" s="193" t="str">
        <f>'男乙賽程'!S44</f>
        <v>handshake</v>
      </c>
      <c r="I107" s="214" t="s">
        <v>143</v>
      </c>
    </row>
    <row r="108" spans="2:9" ht="16.5">
      <c r="B108" s="604" t="s">
        <v>907</v>
      </c>
      <c r="C108" s="180"/>
      <c r="D108" s="204"/>
      <c r="H108" s="193" t="str">
        <f>'男乙賽程'!S50</f>
        <v>隨心 2</v>
      </c>
      <c r="I108" s="214" t="s">
        <v>140</v>
      </c>
    </row>
    <row r="109" spans="2:4" ht="16.5">
      <c r="B109" s="179"/>
      <c r="C109" s="168"/>
      <c r="D109" s="169"/>
    </row>
    <row r="110" spans="2:4" ht="16.5">
      <c r="B110" s="167" t="str">
        <f>'男乙賽程'!S13</f>
        <v>BnW</v>
      </c>
      <c r="C110" s="324" t="s">
        <v>557</v>
      </c>
      <c r="D110" s="169"/>
    </row>
    <row r="111" spans="2:4" ht="16.5">
      <c r="B111" s="183"/>
      <c r="C111" s="168"/>
      <c r="D111" s="169"/>
    </row>
    <row r="112" spans="2:5" ht="16.5">
      <c r="B112" s="166"/>
      <c r="C112" s="175"/>
      <c r="D112" s="169"/>
      <c r="E112" s="209"/>
    </row>
    <row r="113" ht="16.5">
      <c r="D113" s="64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="75" zoomScaleNormal="75" zoomScalePageLayoutView="0" workbookViewId="0" topLeftCell="F1">
      <selection activeCell="W15" sqref="W15"/>
    </sheetView>
  </sheetViews>
  <sheetFormatPr defaultColWidth="9.00390625" defaultRowHeight="16.5"/>
  <cols>
    <col min="1" max="1" width="0" style="342" hidden="1" customWidth="1"/>
    <col min="2" max="2" width="9.50390625" style="342" customWidth="1"/>
    <col min="3" max="3" width="7.75390625" style="342" customWidth="1"/>
    <col min="4" max="4" width="10.25390625" style="342" customWidth="1"/>
    <col min="5" max="5" width="15.625" style="342" customWidth="1"/>
    <col min="6" max="6" width="5.25390625" style="342" customWidth="1"/>
    <col min="7" max="7" width="15.75390625" style="342" customWidth="1"/>
    <col min="8" max="8" width="20.00390625" style="342" customWidth="1"/>
    <col min="9" max="9" width="3.125" style="342" customWidth="1"/>
    <col min="10" max="10" width="20.75390625" style="342" customWidth="1"/>
    <col min="11" max="14" width="9.00390625" style="346" customWidth="1"/>
    <col min="15" max="15" width="25.75390625" style="345" customWidth="1"/>
    <col min="16" max="16" width="25.75390625" style="345" hidden="1" customWidth="1"/>
    <col min="17" max="17" width="18.00390625" style="577" customWidth="1"/>
    <col min="18" max="18" width="9.00390625" style="342" customWidth="1"/>
    <col min="19" max="19" width="15.25390625" style="342" customWidth="1"/>
    <col min="20" max="23" width="9.00390625" style="342" customWidth="1"/>
    <col min="24" max="24" width="0" style="347" hidden="1" customWidth="1"/>
    <col min="25" max="16384" width="9.00390625" style="342" customWidth="1"/>
  </cols>
  <sheetData>
    <row r="1" spans="2:8" ht="23.25">
      <c r="B1" s="343" t="s">
        <v>365</v>
      </c>
      <c r="C1" s="344"/>
      <c r="D1" s="344"/>
      <c r="E1" s="345"/>
      <c r="G1" s="346"/>
      <c r="H1" s="343"/>
    </row>
    <row r="2" spans="2:8" ht="24">
      <c r="B2" s="343" t="s">
        <v>645</v>
      </c>
      <c r="C2" s="344"/>
      <c r="D2" s="344"/>
      <c r="E2" s="345"/>
      <c r="G2" s="346"/>
      <c r="H2" s="343"/>
    </row>
    <row r="3" spans="4:16" ht="18.75">
      <c r="D3" s="348"/>
      <c r="E3" s="346"/>
      <c r="F3" s="346"/>
      <c r="G3" s="349"/>
      <c r="H3" s="616" t="s">
        <v>646</v>
      </c>
      <c r="I3" s="616"/>
      <c r="J3" s="616"/>
      <c r="K3" s="346" t="s">
        <v>647</v>
      </c>
      <c r="L3" s="346" t="s">
        <v>648</v>
      </c>
      <c r="M3" s="346" t="s">
        <v>648</v>
      </c>
      <c r="N3" s="346" t="s">
        <v>647</v>
      </c>
      <c r="P3" s="345" t="s">
        <v>366</v>
      </c>
    </row>
    <row r="4" spans="1:14" ht="15.75">
      <c r="A4" s="350" t="s">
        <v>649</v>
      </c>
      <c r="B4" s="351" t="s">
        <v>277</v>
      </c>
      <c r="C4" s="351" t="s">
        <v>278</v>
      </c>
      <c r="D4" s="352" t="s">
        <v>279</v>
      </c>
      <c r="E4" s="351"/>
      <c r="F4" s="351" t="s">
        <v>280</v>
      </c>
      <c r="G4" s="351"/>
      <c r="H4" s="353" t="s">
        <v>281</v>
      </c>
      <c r="I4" s="354"/>
      <c r="J4" s="353" t="s">
        <v>282</v>
      </c>
      <c r="K4" s="351"/>
      <c r="L4" s="351"/>
      <c r="M4" s="351"/>
      <c r="N4" s="351"/>
    </row>
    <row r="5" spans="1:14" ht="16.5" customHeight="1" thickBot="1">
      <c r="A5" s="355" t="s">
        <v>283</v>
      </c>
      <c r="B5" s="351" t="s">
        <v>650</v>
      </c>
      <c r="C5" s="356" t="s">
        <v>651</v>
      </c>
      <c r="D5" s="357" t="s">
        <v>277</v>
      </c>
      <c r="E5" s="356"/>
      <c r="F5" s="356" t="s">
        <v>652</v>
      </c>
      <c r="G5" s="356"/>
      <c r="H5" s="358" t="s">
        <v>47</v>
      </c>
      <c r="I5" s="355"/>
      <c r="J5" s="358" t="s">
        <v>47</v>
      </c>
      <c r="K5" s="351"/>
      <c r="L5" s="351"/>
      <c r="M5" s="351"/>
      <c r="N5" s="351"/>
    </row>
    <row r="6" spans="1:24" ht="17.25" thickBot="1" thickTop="1">
      <c r="A6" s="359" t="e">
        <f>IF(#REF!&lt;&gt;#REF!,#REF!,"")</f>
        <v>#REF!</v>
      </c>
      <c r="B6" s="360">
        <v>1</v>
      </c>
      <c r="C6" s="361" t="s">
        <v>237</v>
      </c>
      <c r="D6" s="362">
        <v>1</v>
      </c>
      <c r="E6" s="363" t="s">
        <v>111</v>
      </c>
      <c r="F6" s="364" t="s">
        <v>289</v>
      </c>
      <c r="G6" s="365" t="s">
        <v>193</v>
      </c>
      <c r="H6" s="366" t="str">
        <f>VLOOKUP(E6,MD!$C$6:$E$44,3,FALSE)</f>
        <v>ALPS- TW</v>
      </c>
      <c r="I6" s="366" t="s">
        <v>289</v>
      </c>
      <c r="J6" s="366" t="str">
        <f>VLOOKUP(G6,MD!$C$6:$E$86,3,FALSE)</f>
        <v>BYE</v>
      </c>
      <c r="K6" s="367"/>
      <c r="L6" s="367"/>
      <c r="M6" s="367"/>
      <c r="N6" s="367"/>
      <c r="R6" s="368" t="s">
        <v>286</v>
      </c>
      <c r="S6" s="345" t="s">
        <v>46</v>
      </c>
      <c r="T6" s="345" t="s">
        <v>287</v>
      </c>
      <c r="U6" s="345" t="s">
        <v>288</v>
      </c>
      <c r="V6" s="345" t="s">
        <v>57</v>
      </c>
      <c r="X6" s="347" t="s">
        <v>653</v>
      </c>
    </row>
    <row r="7" spans="1:22" ht="17.25" thickBot="1" thickTop="1">
      <c r="A7" s="369" t="e">
        <f>IF(#REF!&lt;&gt;#REF!,#REF!,"")</f>
        <v>#REF!</v>
      </c>
      <c r="B7" s="356">
        <v>2</v>
      </c>
      <c r="C7" s="370" t="s">
        <v>237</v>
      </c>
      <c r="D7" s="371">
        <v>2</v>
      </c>
      <c r="E7" s="372" t="s">
        <v>160</v>
      </c>
      <c r="F7" s="373" t="s">
        <v>289</v>
      </c>
      <c r="G7" s="374" t="s">
        <v>196</v>
      </c>
      <c r="H7" s="375" t="str">
        <f>VLOOKUP(E7,MD!$C$6:$E$44,3,FALSE)</f>
        <v>柏陞</v>
      </c>
      <c r="I7" s="375" t="s">
        <v>289</v>
      </c>
      <c r="J7" s="375">
        <f>VLOOKUP(G7,MD!$C$6:$E$86,3,FALSE)</f>
        <v>1987.5</v>
      </c>
      <c r="K7" s="582"/>
      <c r="L7" s="582"/>
      <c r="M7" s="582"/>
      <c r="N7" s="582"/>
      <c r="O7" s="576" t="s">
        <v>833</v>
      </c>
      <c r="Q7" s="578" t="s">
        <v>802</v>
      </c>
      <c r="R7" s="354">
        <v>1</v>
      </c>
      <c r="S7" s="587" t="s">
        <v>835</v>
      </c>
      <c r="T7" s="376">
        <v>1</v>
      </c>
      <c r="U7" s="376">
        <v>0</v>
      </c>
      <c r="V7" s="376">
        <f>T7*3+U7*0</f>
        <v>3</v>
      </c>
    </row>
    <row r="8" spans="1:22" ht="18" thickBot="1" thickTop="1">
      <c r="A8" s="369" t="e">
        <f>IF(#REF!&lt;&gt;#REF!,#REF!,"")</f>
        <v>#REF!</v>
      </c>
      <c r="B8" s="377">
        <v>3</v>
      </c>
      <c r="C8" s="370" t="s">
        <v>237</v>
      </c>
      <c r="D8" s="371">
        <v>3</v>
      </c>
      <c r="E8" s="372" t="s">
        <v>111</v>
      </c>
      <c r="F8" s="373" t="s">
        <v>289</v>
      </c>
      <c r="G8" s="374" t="s">
        <v>196</v>
      </c>
      <c r="H8" s="375" t="str">
        <f>VLOOKUP(E8,MD!$C$6:$E$44,3,FALSE)</f>
        <v>ALPS- TW</v>
      </c>
      <c r="I8" s="375" t="s">
        <v>289</v>
      </c>
      <c r="J8" s="375">
        <f>VLOOKUP(G8,MD!$C$6:$E$86,3,FALSE)</f>
        <v>1987.5</v>
      </c>
      <c r="K8" s="582"/>
      <c r="L8" s="582"/>
      <c r="M8" s="582"/>
      <c r="N8" s="582"/>
      <c r="O8" s="576" t="s">
        <v>833</v>
      </c>
      <c r="R8" s="354">
        <v>2</v>
      </c>
      <c r="S8" s="588" t="s">
        <v>836</v>
      </c>
      <c r="T8" s="376">
        <v>0</v>
      </c>
      <c r="U8" s="376">
        <v>1</v>
      </c>
      <c r="V8" s="376">
        <f>T8*3+U8*0</f>
        <v>0</v>
      </c>
    </row>
    <row r="9" spans="1:22" ht="17.25" thickBot="1" thickTop="1">
      <c r="A9" s="369" t="e">
        <f>IF(#REF!&lt;&gt;#REF!,#REF!,"")</f>
        <v>#REF!</v>
      </c>
      <c r="B9" s="378">
        <v>4</v>
      </c>
      <c r="C9" s="361" t="s">
        <v>237</v>
      </c>
      <c r="D9" s="362">
        <v>4</v>
      </c>
      <c r="E9" s="363" t="s">
        <v>160</v>
      </c>
      <c r="F9" s="364" t="s">
        <v>289</v>
      </c>
      <c r="G9" s="365" t="s">
        <v>193</v>
      </c>
      <c r="H9" s="366" t="str">
        <f>VLOOKUP(E9,MD!$C$6:$E$44,3,FALSE)</f>
        <v>柏陞</v>
      </c>
      <c r="I9" s="366" t="s">
        <v>289</v>
      </c>
      <c r="J9" s="366" t="str">
        <f>VLOOKUP(G9,MD!$C$6:$E$45,3,FALSE)</f>
        <v>BYE</v>
      </c>
      <c r="K9" s="367"/>
      <c r="L9" s="367"/>
      <c r="M9" s="367"/>
      <c r="N9" s="367"/>
      <c r="R9" s="589"/>
      <c r="S9" s="590">
        <v>1987.5</v>
      </c>
      <c r="T9" s="590"/>
      <c r="U9" s="590"/>
      <c r="V9" s="590">
        <f>T9*3+U9*0</f>
        <v>0</v>
      </c>
    </row>
    <row r="10" spans="1:22" ht="17.25" thickBot="1" thickTop="1">
      <c r="A10" s="369" t="e">
        <f>IF(#REF!&lt;&gt;#REF!,#REF!,"")</f>
        <v>#REF!</v>
      </c>
      <c r="B10" s="360">
        <v>5</v>
      </c>
      <c r="C10" s="361" t="s">
        <v>237</v>
      </c>
      <c r="D10" s="362">
        <v>5</v>
      </c>
      <c r="E10" s="363" t="s">
        <v>196</v>
      </c>
      <c r="F10" s="364" t="s">
        <v>289</v>
      </c>
      <c r="G10" s="365" t="s">
        <v>193</v>
      </c>
      <c r="H10" s="366">
        <f>VLOOKUP(E10,MD!$C$6:$E$44,3,FALSE)</f>
        <v>1987.5</v>
      </c>
      <c r="I10" s="366" t="s">
        <v>289</v>
      </c>
      <c r="J10" s="366" t="str">
        <f>VLOOKUP(G10,MD!$C$6:$E$45,3,FALSE)</f>
        <v>BYE</v>
      </c>
      <c r="K10" s="367"/>
      <c r="L10" s="367"/>
      <c r="M10" s="367"/>
      <c r="N10" s="367"/>
      <c r="R10" s="354"/>
      <c r="S10" s="379"/>
      <c r="T10" s="376"/>
      <c r="U10" s="376"/>
      <c r="V10" s="376"/>
    </row>
    <row r="11" spans="1:15" ht="17.25" thickBot="1" thickTop="1">
      <c r="A11" s="369"/>
      <c r="B11" s="356">
        <v>6</v>
      </c>
      <c r="C11" s="380" t="s">
        <v>237</v>
      </c>
      <c r="D11" s="381">
        <v>6</v>
      </c>
      <c r="E11" s="382" t="s">
        <v>111</v>
      </c>
      <c r="F11" s="383" t="s">
        <v>289</v>
      </c>
      <c r="G11" s="384" t="s">
        <v>160</v>
      </c>
      <c r="H11" s="375" t="str">
        <f>VLOOKUP(E11,MD!$C$6:$E$44,3,FALSE)</f>
        <v>ALPS- TW</v>
      </c>
      <c r="I11" s="375" t="s">
        <v>289</v>
      </c>
      <c r="J11" s="375" t="str">
        <f>VLOOKUP(G11,MD!$C$6:$E$45,3,FALSE)</f>
        <v>柏陞</v>
      </c>
      <c r="K11" s="351">
        <v>2</v>
      </c>
      <c r="L11" s="351">
        <f>20+21+15</f>
        <v>56</v>
      </c>
      <c r="M11" s="351">
        <f>22+14+9</f>
        <v>45</v>
      </c>
      <c r="N11" s="351">
        <v>1</v>
      </c>
      <c r="O11" s="576" t="s">
        <v>832</v>
      </c>
    </row>
    <row r="12" spans="1:22" ht="17.25" thickBot="1" thickTop="1">
      <c r="A12" s="369"/>
      <c r="B12" s="377">
        <v>7</v>
      </c>
      <c r="C12" s="370" t="s">
        <v>238</v>
      </c>
      <c r="D12" s="385">
        <v>1</v>
      </c>
      <c r="E12" s="386" t="s">
        <v>115</v>
      </c>
      <c r="F12" s="386" t="s">
        <v>289</v>
      </c>
      <c r="G12" s="387" t="s">
        <v>203</v>
      </c>
      <c r="H12" s="375" t="str">
        <f>VLOOKUP(E12,MD!$C$6:$E$44,3,FALSE)</f>
        <v>BnW</v>
      </c>
      <c r="I12" s="375" t="s">
        <v>289</v>
      </c>
      <c r="J12" s="375" t="str">
        <f>VLOOKUP(G12,MD!$C$6:$E$86,3,FALSE)</f>
        <v>HELLO</v>
      </c>
      <c r="K12" s="582"/>
      <c r="L12" s="582"/>
      <c r="M12" s="582"/>
      <c r="N12" s="582"/>
      <c r="O12" s="576" t="s">
        <v>829</v>
      </c>
      <c r="R12" s="368" t="s">
        <v>286</v>
      </c>
      <c r="S12" s="345" t="s">
        <v>46</v>
      </c>
      <c r="T12" s="345" t="s">
        <v>287</v>
      </c>
      <c r="U12" s="345" t="s">
        <v>288</v>
      </c>
      <c r="V12" s="345" t="s">
        <v>57</v>
      </c>
    </row>
    <row r="13" spans="1:22" ht="18" thickBot="1" thickTop="1">
      <c r="A13" s="369"/>
      <c r="B13" s="356">
        <v>8</v>
      </c>
      <c r="C13" s="388" t="s">
        <v>238</v>
      </c>
      <c r="D13" s="389">
        <v>2</v>
      </c>
      <c r="E13" s="373" t="s">
        <v>157</v>
      </c>
      <c r="F13" s="373" t="s">
        <v>289</v>
      </c>
      <c r="G13" s="374" t="s">
        <v>197</v>
      </c>
      <c r="H13" s="375" t="str">
        <f>VLOOKUP(E13,MD!$C$6:$E$44,3,FALSE)</f>
        <v>過晒氣</v>
      </c>
      <c r="I13" s="375" t="s">
        <v>289</v>
      </c>
      <c r="J13" s="375" t="str">
        <f>VLOOKUP(G13,MD!$C$6:$E$86,3,FALSE)</f>
        <v>霖完未JACK</v>
      </c>
      <c r="K13" s="584"/>
      <c r="L13" s="584"/>
      <c r="M13" s="584"/>
      <c r="N13" s="584"/>
      <c r="O13" s="581" t="s">
        <v>830</v>
      </c>
      <c r="Q13" s="578" t="s">
        <v>803</v>
      </c>
      <c r="R13" s="354">
        <v>1</v>
      </c>
      <c r="S13" s="587" t="s">
        <v>837</v>
      </c>
      <c r="T13" s="376">
        <v>1</v>
      </c>
      <c r="U13" s="376">
        <v>0</v>
      </c>
      <c r="V13" s="376">
        <f>T13*3+U13*0</f>
        <v>3</v>
      </c>
    </row>
    <row r="14" spans="1:22" ht="18" thickBot="1" thickTop="1">
      <c r="A14" s="369"/>
      <c r="B14" s="377">
        <v>9</v>
      </c>
      <c r="C14" s="388" t="s">
        <v>238</v>
      </c>
      <c r="D14" s="389">
        <v>3</v>
      </c>
      <c r="E14" s="373" t="s">
        <v>115</v>
      </c>
      <c r="F14" s="373" t="s">
        <v>289</v>
      </c>
      <c r="G14" s="374" t="s">
        <v>197</v>
      </c>
      <c r="H14" s="375" t="str">
        <f>VLOOKUP(E14,MD!$C$6:$E$44,3,FALSE)</f>
        <v>BnW</v>
      </c>
      <c r="I14" s="375" t="s">
        <v>289</v>
      </c>
      <c r="J14" s="583" t="str">
        <f>VLOOKUP(G14,MD!$C$6:$E$86,3,FALSE)</f>
        <v>霖完未JACK</v>
      </c>
      <c r="K14" s="586">
        <v>2</v>
      </c>
      <c r="L14" s="586">
        <f>21+21</f>
        <v>42</v>
      </c>
      <c r="M14" s="586">
        <f>10+11</f>
        <v>21</v>
      </c>
      <c r="N14" s="586">
        <v>0</v>
      </c>
      <c r="O14" s="576" t="s">
        <v>834</v>
      </c>
      <c r="R14" s="354">
        <v>2</v>
      </c>
      <c r="S14" s="591" t="s">
        <v>838</v>
      </c>
      <c r="T14" s="376">
        <v>0</v>
      </c>
      <c r="U14" s="376">
        <v>1</v>
      </c>
      <c r="V14" s="376">
        <f>T14*3+U14*0</f>
        <v>0</v>
      </c>
    </row>
    <row r="15" spans="1:22" ht="18" thickBot="1" thickTop="1">
      <c r="A15" s="369"/>
      <c r="B15" s="356">
        <v>10</v>
      </c>
      <c r="C15" s="388" t="s">
        <v>238</v>
      </c>
      <c r="D15" s="389">
        <v>4</v>
      </c>
      <c r="E15" s="373" t="s">
        <v>157</v>
      </c>
      <c r="F15" s="373" t="s">
        <v>289</v>
      </c>
      <c r="G15" s="374" t="s">
        <v>203</v>
      </c>
      <c r="H15" s="375" t="str">
        <f>VLOOKUP(E15,MD!$C$6:$E$44,3,FALSE)</f>
        <v>過晒氣</v>
      </c>
      <c r="I15" s="375" t="s">
        <v>289</v>
      </c>
      <c r="J15" s="375" t="str">
        <f>VLOOKUP(G15,MD!$C$6:$E$86,3,FALSE)</f>
        <v>HELLO</v>
      </c>
      <c r="K15" s="585"/>
      <c r="L15" s="585"/>
      <c r="M15" s="585"/>
      <c r="N15" s="585"/>
      <c r="O15" s="576" t="s">
        <v>831</v>
      </c>
      <c r="R15" s="589"/>
      <c r="S15" s="592" t="s">
        <v>839</v>
      </c>
      <c r="T15" s="590"/>
      <c r="U15" s="590"/>
      <c r="V15" s="590">
        <f>T15*3+U15*0</f>
        <v>0</v>
      </c>
    </row>
    <row r="16" spans="1:22" ht="17.25" thickBot="1" thickTop="1">
      <c r="A16" s="369"/>
      <c r="B16" s="377">
        <v>11</v>
      </c>
      <c r="C16" s="388" t="s">
        <v>238</v>
      </c>
      <c r="D16" s="389">
        <v>5</v>
      </c>
      <c r="E16" s="373" t="s">
        <v>197</v>
      </c>
      <c r="F16" s="373" t="s">
        <v>289</v>
      </c>
      <c r="G16" s="374" t="s">
        <v>203</v>
      </c>
      <c r="H16" s="375" t="str">
        <f>VLOOKUP(E16,MD!$C$6:$E$44,3,FALSE)</f>
        <v>霖完未JACK</v>
      </c>
      <c r="I16" s="375" t="s">
        <v>289</v>
      </c>
      <c r="J16" s="375" t="str">
        <f>VLOOKUP(G16,MD!$C$6:$E$86,3,FALSE)</f>
        <v>HELLO</v>
      </c>
      <c r="K16" s="582"/>
      <c r="L16" s="582"/>
      <c r="M16" s="582"/>
      <c r="N16" s="582"/>
      <c r="O16" s="576" t="s">
        <v>829</v>
      </c>
      <c r="R16" s="589"/>
      <c r="S16" s="593" t="s">
        <v>840</v>
      </c>
      <c r="T16" s="590"/>
      <c r="U16" s="590"/>
      <c r="V16" s="590">
        <f>T16*3+U16*0</f>
        <v>0</v>
      </c>
    </row>
    <row r="17" spans="1:15" ht="18" thickBot="1" thickTop="1">
      <c r="A17" s="369"/>
      <c r="B17" s="356">
        <v>12</v>
      </c>
      <c r="C17" s="380" t="s">
        <v>238</v>
      </c>
      <c r="D17" s="381">
        <v>6</v>
      </c>
      <c r="E17" s="383" t="s">
        <v>115</v>
      </c>
      <c r="F17" s="383" t="s">
        <v>289</v>
      </c>
      <c r="G17" s="384" t="s">
        <v>157</v>
      </c>
      <c r="H17" s="375" t="str">
        <f>VLOOKUP(E17,MD!$C$6:$E$44,3,FALSE)</f>
        <v>BnW</v>
      </c>
      <c r="I17" s="375" t="s">
        <v>289</v>
      </c>
      <c r="J17" s="375" t="str">
        <f>VLOOKUP(G17,MD!$C$6:$E$86,3,FALSE)</f>
        <v>過晒氣</v>
      </c>
      <c r="K17" s="582"/>
      <c r="L17" s="582"/>
      <c r="M17" s="582"/>
      <c r="N17" s="582"/>
      <c r="O17" s="581" t="s">
        <v>830</v>
      </c>
    </row>
    <row r="18" spans="1:22" ht="17.25" thickBot="1" thickTop="1">
      <c r="A18" s="369"/>
      <c r="B18" s="377">
        <v>13</v>
      </c>
      <c r="C18" s="390" t="s">
        <v>290</v>
      </c>
      <c r="D18" s="371">
        <v>1</v>
      </c>
      <c r="E18" s="391" t="s">
        <v>119</v>
      </c>
      <c r="F18" s="386" t="s">
        <v>289</v>
      </c>
      <c r="G18" s="387" t="s">
        <v>205</v>
      </c>
      <c r="H18" s="375" t="str">
        <f>VLOOKUP(E18,MD!$C$6:$E$44,3,FALSE)</f>
        <v>SCAA YA</v>
      </c>
      <c r="I18" s="375" t="s">
        <v>289</v>
      </c>
      <c r="J18" s="375" t="str">
        <f>VLOOKUP(G18,MD!$C$6:$E$86,3,FALSE)</f>
        <v>隨心 1</v>
      </c>
      <c r="K18" s="351">
        <v>2</v>
      </c>
      <c r="L18" s="351">
        <f>21+12+15</f>
        <v>48</v>
      </c>
      <c r="M18" s="351">
        <f>10+21+12</f>
        <v>43</v>
      </c>
      <c r="N18" s="351">
        <v>1</v>
      </c>
      <c r="O18" s="576" t="s">
        <v>795</v>
      </c>
      <c r="R18" s="368" t="s">
        <v>286</v>
      </c>
      <c r="S18" s="345" t="s">
        <v>46</v>
      </c>
      <c r="T18" s="345" t="s">
        <v>287</v>
      </c>
      <c r="U18" s="345" t="s">
        <v>288</v>
      </c>
      <c r="V18" s="345" t="s">
        <v>57</v>
      </c>
    </row>
    <row r="19" spans="1:22" ht="17.25" thickBot="1" thickTop="1">
      <c r="A19" s="369" t="e">
        <f>IF(#REF!&lt;&gt;#REF!,#REF!,"")</f>
        <v>#REF!</v>
      </c>
      <c r="B19" s="356">
        <v>14</v>
      </c>
      <c r="C19" s="388" t="s">
        <v>290</v>
      </c>
      <c r="D19" s="371">
        <v>2</v>
      </c>
      <c r="E19" s="372" t="s">
        <v>194</v>
      </c>
      <c r="F19" s="373" t="s">
        <v>289</v>
      </c>
      <c r="G19" s="374" t="s">
        <v>168</v>
      </c>
      <c r="H19" s="375" t="str">
        <f>VLOOKUP(E19,MD!$C$6:$E$44,3,FALSE)</f>
        <v>WM</v>
      </c>
      <c r="I19" s="375" t="s">
        <v>289</v>
      </c>
      <c r="J19" s="375" t="str">
        <f>VLOOKUP(G19,MD!$C$6:$E$86,3,FALSE)</f>
        <v>我叫你</v>
      </c>
      <c r="K19" s="351">
        <v>1</v>
      </c>
      <c r="L19" s="351">
        <f>15+21+9</f>
        <v>45</v>
      </c>
      <c r="M19" s="351">
        <f>21+18+15</f>
        <v>54</v>
      </c>
      <c r="N19" s="351">
        <v>2</v>
      </c>
      <c r="O19" s="576" t="s">
        <v>796</v>
      </c>
      <c r="Q19" s="578" t="s">
        <v>805</v>
      </c>
      <c r="R19" s="354">
        <v>1</v>
      </c>
      <c r="S19" s="587" t="s">
        <v>843</v>
      </c>
      <c r="T19" s="376">
        <v>2</v>
      </c>
      <c r="U19" s="376">
        <v>0</v>
      </c>
      <c r="V19" s="376">
        <f>T19*3+U19*0</f>
        <v>6</v>
      </c>
    </row>
    <row r="20" spans="1:22" ht="18" thickBot="1" thickTop="1">
      <c r="A20" s="369" t="e">
        <f>IF(#REF!&lt;&gt;#REF!,#REF!,"")</f>
        <v>#REF!</v>
      </c>
      <c r="B20" s="377">
        <v>15</v>
      </c>
      <c r="C20" s="388" t="s">
        <v>290</v>
      </c>
      <c r="D20" s="371">
        <v>3</v>
      </c>
      <c r="E20" s="372" t="s">
        <v>119</v>
      </c>
      <c r="F20" s="373" t="s">
        <v>289</v>
      </c>
      <c r="G20" s="374" t="s">
        <v>168</v>
      </c>
      <c r="H20" s="375" t="str">
        <f>VLOOKUP(E20,MD!$C$6:$E$44,3,FALSE)</f>
        <v>SCAA YA</v>
      </c>
      <c r="I20" s="375" t="s">
        <v>289</v>
      </c>
      <c r="J20" s="375" t="str">
        <f>VLOOKUP(G20,MD!$C$6:$E$86,3,FALSE)</f>
        <v>我叫你</v>
      </c>
      <c r="K20" s="351">
        <v>2</v>
      </c>
      <c r="L20" s="351">
        <f>21+21</f>
        <v>42</v>
      </c>
      <c r="M20" s="351">
        <f>18+18</f>
        <v>36</v>
      </c>
      <c r="N20" s="351">
        <v>0</v>
      </c>
      <c r="O20" s="576" t="s">
        <v>797</v>
      </c>
      <c r="R20" s="354">
        <v>2</v>
      </c>
      <c r="S20" s="588" t="s">
        <v>844</v>
      </c>
      <c r="T20" s="376">
        <v>1</v>
      </c>
      <c r="U20" s="376">
        <v>1</v>
      </c>
      <c r="V20" s="376">
        <f>T20*3+U20*0</f>
        <v>3</v>
      </c>
    </row>
    <row r="21" spans="1:24" ht="17.25" thickBot="1" thickTop="1">
      <c r="A21" s="369" t="e">
        <f>IF(#REF!&lt;&gt;#REF!,#REF!,"")</f>
        <v>#REF!</v>
      </c>
      <c r="B21" s="356">
        <v>16</v>
      </c>
      <c r="C21" s="388" t="s">
        <v>290</v>
      </c>
      <c r="D21" s="371">
        <v>4</v>
      </c>
      <c r="E21" s="372" t="s">
        <v>194</v>
      </c>
      <c r="F21" s="373" t="s">
        <v>289</v>
      </c>
      <c r="G21" s="374" t="s">
        <v>205</v>
      </c>
      <c r="H21" s="375" t="str">
        <f>VLOOKUP(E21,MD!$C$6:$E$44,3,FALSE)</f>
        <v>WM</v>
      </c>
      <c r="I21" s="375" t="s">
        <v>289</v>
      </c>
      <c r="J21" s="375" t="str">
        <f>VLOOKUP(G21,MD!$C$6:$E$86,3,FALSE)</f>
        <v>隨心 1</v>
      </c>
      <c r="K21" s="351">
        <v>2</v>
      </c>
      <c r="L21" s="351">
        <f>21+21</f>
        <v>42</v>
      </c>
      <c r="M21" s="351">
        <f>19+19</f>
        <v>38</v>
      </c>
      <c r="N21" s="351">
        <v>0</v>
      </c>
      <c r="O21" s="576" t="s">
        <v>798</v>
      </c>
      <c r="R21" s="354">
        <v>3</v>
      </c>
      <c r="S21" s="587" t="s">
        <v>845</v>
      </c>
      <c r="T21" s="376">
        <v>1</v>
      </c>
      <c r="U21" s="376">
        <v>1</v>
      </c>
      <c r="V21" s="376">
        <f>T21*3+U21*0</f>
        <v>3</v>
      </c>
      <c r="X21" s="347">
        <v>48</v>
      </c>
    </row>
    <row r="22" spans="1:24" ht="18" thickBot="1" thickTop="1">
      <c r="A22" s="369" t="e">
        <f>IF(#REF!&lt;&gt;#REF!,#REF!,"")</f>
        <v>#REF!</v>
      </c>
      <c r="B22" s="377">
        <v>17</v>
      </c>
      <c r="C22" s="388" t="s">
        <v>290</v>
      </c>
      <c r="D22" s="371">
        <v>5</v>
      </c>
      <c r="E22" s="372" t="s">
        <v>168</v>
      </c>
      <c r="F22" s="373" t="s">
        <v>289</v>
      </c>
      <c r="G22" s="374" t="s">
        <v>205</v>
      </c>
      <c r="H22" s="375" t="str">
        <f>VLOOKUP(E22,MD!$C$6:$E$44,3,FALSE)</f>
        <v>我叫你</v>
      </c>
      <c r="I22" s="375" t="s">
        <v>289</v>
      </c>
      <c r="J22" s="375" t="str">
        <f>VLOOKUP(G22,MD!$C$6:$E$86,3,FALSE)</f>
        <v>隨心 1</v>
      </c>
      <c r="K22" s="582"/>
      <c r="L22" s="582"/>
      <c r="M22" s="582"/>
      <c r="N22" s="582"/>
      <c r="O22" s="581" t="s">
        <v>841</v>
      </c>
      <c r="R22" s="354">
        <v>4</v>
      </c>
      <c r="S22" s="588" t="s">
        <v>894</v>
      </c>
      <c r="T22" s="376">
        <v>0</v>
      </c>
      <c r="U22" s="376">
        <v>2</v>
      </c>
      <c r="V22" s="376">
        <f>T22*3+U22*0</f>
        <v>0</v>
      </c>
      <c r="X22" s="347">
        <v>36</v>
      </c>
    </row>
    <row r="23" spans="1:15" ht="17.25" thickBot="1" thickTop="1">
      <c r="A23" s="369" t="e">
        <f>IF(#REF!&lt;&gt;#REF!,#REF!,"")</f>
        <v>#REF!</v>
      </c>
      <c r="B23" s="356">
        <v>18</v>
      </c>
      <c r="C23" s="380" t="s">
        <v>290</v>
      </c>
      <c r="D23" s="381">
        <v>6</v>
      </c>
      <c r="E23" s="382" t="s">
        <v>119</v>
      </c>
      <c r="F23" s="383" t="s">
        <v>289</v>
      </c>
      <c r="G23" s="384" t="s">
        <v>194</v>
      </c>
      <c r="H23" s="375" t="str">
        <f>VLOOKUP(E23,MD!$C$6:$E$44,3,FALSE)</f>
        <v>SCAA YA</v>
      </c>
      <c r="I23" s="375" t="s">
        <v>289</v>
      </c>
      <c r="J23" s="375" t="str">
        <f>VLOOKUP(G23,MD!$C$6:$E$86,3,FALSE)</f>
        <v>WM</v>
      </c>
      <c r="K23" s="582"/>
      <c r="L23" s="582"/>
      <c r="M23" s="582"/>
      <c r="N23" s="582"/>
      <c r="O23" s="576" t="s">
        <v>842</v>
      </c>
    </row>
    <row r="24" spans="1:22" ht="17.25" thickBot="1" thickTop="1">
      <c r="A24" s="369" t="e">
        <f>IF(#REF!&lt;&gt;#REF!,#REF!,"")</f>
        <v>#REF!</v>
      </c>
      <c r="B24" s="377">
        <v>19</v>
      </c>
      <c r="C24" s="370" t="s">
        <v>295</v>
      </c>
      <c r="D24" s="371">
        <v>1</v>
      </c>
      <c r="E24" s="372" t="s">
        <v>123</v>
      </c>
      <c r="F24" s="373" t="s">
        <v>289</v>
      </c>
      <c r="G24" s="374" t="s">
        <v>207</v>
      </c>
      <c r="H24" s="375" t="str">
        <f>VLOOKUP(E24,MD!$C$6:$E$44,3,FALSE)</f>
        <v>Zlatan</v>
      </c>
      <c r="I24" s="375" t="s">
        <v>289</v>
      </c>
      <c r="J24" s="375" t="str">
        <f>VLOOKUP(G24,MD!$C$6:$E$86,3,FALSE)</f>
        <v>肇青三隊</v>
      </c>
      <c r="K24" s="351">
        <v>2</v>
      </c>
      <c r="L24" s="351">
        <f>21+21</f>
        <v>42</v>
      </c>
      <c r="M24" s="351">
        <f>6+9</f>
        <v>15</v>
      </c>
      <c r="N24" s="351">
        <v>0</v>
      </c>
      <c r="O24" s="576" t="s">
        <v>799</v>
      </c>
      <c r="Q24" s="578" t="s">
        <v>804</v>
      </c>
      <c r="R24" s="368" t="s">
        <v>286</v>
      </c>
      <c r="S24" s="345" t="s">
        <v>46</v>
      </c>
      <c r="T24" s="345" t="s">
        <v>287</v>
      </c>
      <c r="U24" s="345" t="s">
        <v>288</v>
      </c>
      <c r="V24" s="345" t="s">
        <v>57</v>
      </c>
    </row>
    <row r="25" spans="1:22" ht="17.25" thickBot="1" thickTop="1">
      <c r="A25" s="369" t="e">
        <f>IF(#REF!&lt;&gt;#REF!,#REF!,"")</f>
        <v>#REF!</v>
      </c>
      <c r="B25" s="356">
        <v>20</v>
      </c>
      <c r="C25" s="370" t="s">
        <v>295</v>
      </c>
      <c r="D25" s="371">
        <v>2</v>
      </c>
      <c r="E25" s="372" t="s">
        <v>195</v>
      </c>
      <c r="F25" s="373" t="s">
        <v>289</v>
      </c>
      <c r="G25" s="374" t="s">
        <v>171</v>
      </c>
      <c r="H25" s="375" t="str">
        <f>VLOOKUP(E25,MD!$C$6:$E$44,3,FALSE)</f>
        <v>早餐專家</v>
      </c>
      <c r="I25" s="375" t="s">
        <v>289</v>
      </c>
      <c r="J25" s="375" t="str">
        <f>VLOOKUP(G25,MD!$C$6:$E$86,3,FALSE)</f>
        <v>熱情的麻鷹</v>
      </c>
      <c r="K25" s="351">
        <v>0</v>
      </c>
      <c r="L25" s="351">
        <f>20+17</f>
        <v>37</v>
      </c>
      <c r="M25" s="351">
        <f>22+21</f>
        <v>43</v>
      </c>
      <c r="N25" s="351">
        <v>2</v>
      </c>
      <c r="O25" s="576" t="s">
        <v>800</v>
      </c>
      <c r="R25" s="354">
        <v>1</v>
      </c>
      <c r="S25" s="587" t="s">
        <v>848</v>
      </c>
      <c r="T25" s="376">
        <v>3</v>
      </c>
      <c r="U25" s="376">
        <v>0</v>
      </c>
      <c r="V25" s="376">
        <f>T25*3+U25*0</f>
        <v>9</v>
      </c>
    </row>
    <row r="26" spans="1:22" ht="18" thickBot="1" thickTop="1">
      <c r="A26" s="369" t="e">
        <f>IF(#REF!&lt;&gt;#REF!,#REF!,"")</f>
        <v>#REF!</v>
      </c>
      <c r="B26" s="377">
        <v>21</v>
      </c>
      <c r="C26" s="370" t="s">
        <v>295</v>
      </c>
      <c r="D26" s="371">
        <v>3</v>
      </c>
      <c r="E26" s="372" t="s">
        <v>123</v>
      </c>
      <c r="F26" s="373" t="s">
        <v>289</v>
      </c>
      <c r="G26" s="374" t="s">
        <v>171</v>
      </c>
      <c r="H26" s="375" t="str">
        <f>VLOOKUP(E26,MD!$C$6:$E$44,3,FALSE)</f>
        <v>Zlatan</v>
      </c>
      <c r="I26" s="375" t="s">
        <v>289</v>
      </c>
      <c r="J26" s="375" t="str">
        <f>VLOOKUP(G26,MD!$C$6:$E$86,3,FALSE)</f>
        <v>熱情的麻鷹</v>
      </c>
      <c r="K26" s="351">
        <v>2</v>
      </c>
      <c r="L26" s="351">
        <f>21+21</f>
        <v>42</v>
      </c>
      <c r="M26" s="351">
        <f>10+14</f>
        <v>24</v>
      </c>
      <c r="N26" s="351">
        <v>0</v>
      </c>
      <c r="O26" s="576" t="s">
        <v>801</v>
      </c>
      <c r="R26" s="354">
        <v>2</v>
      </c>
      <c r="S26" s="588" t="s">
        <v>849</v>
      </c>
      <c r="T26" s="376">
        <v>2</v>
      </c>
      <c r="U26" s="376">
        <v>1</v>
      </c>
      <c r="V26" s="376">
        <f>T26*3+U26*0</f>
        <v>6</v>
      </c>
    </row>
    <row r="27" spans="1:24" ht="18" thickBot="1" thickTop="1">
      <c r="A27" s="369" t="e">
        <f>IF(#REF!&lt;&gt;#REF!,#REF!,"")</f>
        <v>#REF!</v>
      </c>
      <c r="B27" s="356">
        <v>22</v>
      </c>
      <c r="C27" s="370" t="s">
        <v>295</v>
      </c>
      <c r="D27" s="371">
        <v>4</v>
      </c>
      <c r="E27" s="372" t="s">
        <v>195</v>
      </c>
      <c r="F27" s="373" t="s">
        <v>289</v>
      </c>
      <c r="G27" s="374" t="s">
        <v>207</v>
      </c>
      <c r="H27" s="375" t="str">
        <f>VLOOKUP(E27,MD!$C$6:$E$44,3,FALSE)</f>
        <v>早餐專家</v>
      </c>
      <c r="I27" s="375" t="s">
        <v>289</v>
      </c>
      <c r="J27" s="375" t="str">
        <f>VLOOKUP(G27,MD!$C$6:$E$86,3,FALSE)</f>
        <v>肇青三隊</v>
      </c>
      <c r="K27" s="351">
        <v>2</v>
      </c>
      <c r="L27" s="351">
        <f>21+21</f>
        <v>42</v>
      </c>
      <c r="M27" s="351">
        <f>4+16</f>
        <v>20</v>
      </c>
      <c r="N27" s="351">
        <v>0</v>
      </c>
      <c r="O27" s="576" t="s">
        <v>801</v>
      </c>
      <c r="R27" s="354">
        <v>3</v>
      </c>
      <c r="S27" s="588" t="s">
        <v>850</v>
      </c>
      <c r="T27" s="376">
        <v>1</v>
      </c>
      <c r="U27" s="376">
        <v>2</v>
      </c>
      <c r="V27" s="376">
        <f>T27*3+U27*0</f>
        <v>3</v>
      </c>
      <c r="X27" s="347">
        <v>48</v>
      </c>
    </row>
    <row r="28" spans="1:24" ht="18" thickBot="1" thickTop="1">
      <c r="A28" s="369" t="e">
        <f>IF(#REF!&lt;&gt;#REF!,#REF!,"")</f>
        <v>#REF!</v>
      </c>
      <c r="B28" s="377">
        <v>23</v>
      </c>
      <c r="C28" s="370" t="s">
        <v>295</v>
      </c>
      <c r="D28" s="371">
        <v>5</v>
      </c>
      <c r="E28" s="372" t="s">
        <v>171</v>
      </c>
      <c r="F28" s="373" t="s">
        <v>289</v>
      </c>
      <c r="G28" s="374" t="s">
        <v>207</v>
      </c>
      <c r="H28" s="375" t="str">
        <f>VLOOKUP(E28,MD!$C$6:$E$44,3,FALSE)</f>
        <v>熱情的麻鷹</v>
      </c>
      <c r="I28" s="375" t="s">
        <v>289</v>
      </c>
      <c r="J28" s="375" t="str">
        <f>VLOOKUP(G28,MD!$C$6:$E$86,3,FALSE)</f>
        <v>肇青三隊</v>
      </c>
      <c r="K28" s="351">
        <v>2</v>
      </c>
      <c r="L28" s="351">
        <f>21+21</f>
        <v>42</v>
      </c>
      <c r="M28" s="351">
        <f>18+3</f>
        <v>21</v>
      </c>
      <c r="N28" s="351">
        <v>0</v>
      </c>
      <c r="O28" s="576" t="s">
        <v>846</v>
      </c>
      <c r="R28" s="354">
        <v>4</v>
      </c>
      <c r="S28" s="588" t="s">
        <v>895</v>
      </c>
      <c r="T28" s="376">
        <v>0</v>
      </c>
      <c r="U28" s="376">
        <v>3</v>
      </c>
      <c r="V28" s="376">
        <f>T28*3+U28*0</f>
        <v>0</v>
      </c>
      <c r="X28" s="347">
        <v>36</v>
      </c>
    </row>
    <row r="29" spans="1:15" ht="17.25" thickBot="1" thickTop="1">
      <c r="A29" s="369" t="e">
        <f>IF(#REF!&lt;&gt;#REF!,#REF!,"")</f>
        <v>#REF!</v>
      </c>
      <c r="B29" s="356">
        <v>24</v>
      </c>
      <c r="C29" s="370" t="s">
        <v>295</v>
      </c>
      <c r="D29" s="381">
        <v>6</v>
      </c>
      <c r="E29" s="382" t="s">
        <v>123</v>
      </c>
      <c r="F29" s="383" t="s">
        <v>289</v>
      </c>
      <c r="G29" s="384" t="s">
        <v>195</v>
      </c>
      <c r="H29" s="375" t="str">
        <f>VLOOKUP(E29,MD!$C$6:$E$44,3,FALSE)</f>
        <v>Zlatan</v>
      </c>
      <c r="I29" s="375" t="s">
        <v>289</v>
      </c>
      <c r="J29" s="375" t="str">
        <f>VLOOKUP(G29,MD!$C$6:$E$86,3,FALSE)</f>
        <v>早餐專家</v>
      </c>
      <c r="K29" s="351">
        <v>2</v>
      </c>
      <c r="L29" s="351">
        <f>21+21</f>
        <v>42</v>
      </c>
      <c r="M29" s="351">
        <f>13+14</f>
        <v>27</v>
      </c>
      <c r="N29" s="351">
        <v>0</v>
      </c>
      <c r="O29" s="576" t="s">
        <v>847</v>
      </c>
    </row>
    <row r="30" spans="1:22" ht="17.25" thickBot="1" thickTop="1">
      <c r="A30" s="369" t="e">
        <f>IF(#REF!&lt;&gt;#REF!,#REF!,"")</f>
        <v>#REF!</v>
      </c>
      <c r="B30" s="377">
        <v>25</v>
      </c>
      <c r="C30" s="392" t="s">
        <v>300</v>
      </c>
      <c r="D30" s="371">
        <v>1</v>
      </c>
      <c r="E30" s="372" t="s">
        <v>126</v>
      </c>
      <c r="F30" s="373" t="s">
        <v>289</v>
      </c>
      <c r="G30" s="374" t="s">
        <v>209</v>
      </c>
      <c r="H30" s="375" t="str">
        <f>VLOOKUP(E30,MD!$C$6:$E$44,3,FALSE)</f>
        <v>後生仔</v>
      </c>
      <c r="I30" s="375" t="s">
        <v>289</v>
      </c>
      <c r="J30" s="375" t="str">
        <f>VLOOKUP(G30,MD!$C$6:$E$86,3,FALSE)</f>
        <v>呀哈</v>
      </c>
      <c r="K30" s="351">
        <v>2</v>
      </c>
      <c r="L30" s="351">
        <f>18+21+15</f>
        <v>54</v>
      </c>
      <c r="M30" s="351">
        <f>21+16+12</f>
        <v>49</v>
      </c>
      <c r="N30" s="351">
        <v>1</v>
      </c>
      <c r="O30" s="576" t="s">
        <v>869</v>
      </c>
      <c r="R30" s="368" t="s">
        <v>286</v>
      </c>
      <c r="S30" s="345" t="s">
        <v>46</v>
      </c>
      <c r="T30" s="345" t="s">
        <v>287</v>
      </c>
      <c r="U30" s="345" t="s">
        <v>288</v>
      </c>
      <c r="V30" s="345" t="s">
        <v>57</v>
      </c>
    </row>
    <row r="31" spans="1:22" ht="17.25" thickBot="1" thickTop="1">
      <c r="A31" s="369" t="e">
        <f>IF(#REF!&lt;&gt;#REF!,#REF!,"")</f>
        <v>#REF!</v>
      </c>
      <c r="B31" s="356">
        <v>26</v>
      </c>
      <c r="C31" s="388" t="s">
        <v>300</v>
      </c>
      <c r="D31" s="371">
        <v>2</v>
      </c>
      <c r="E31" s="372" t="s">
        <v>149</v>
      </c>
      <c r="F31" s="373" t="s">
        <v>289</v>
      </c>
      <c r="G31" s="374" t="s">
        <v>198</v>
      </c>
      <c r="H31" s="375" t="str">
        <f>VLOOKUP(E31,MD!$C$6:$E$44,3,FALSE)</f>
        <v>米奇與勁大隻傑</v>
      </c>
      <c r="I31" s="375" t="s">
        <v>289</v>
      </c>
      <c r="J31" s="375" t="str">
        <f>VLOOKUP(G31,MD!$C$6:$E$86,3,FALSE)</f>
        <v>SCAA-99</v>
      </c>
      <c r="K31" s="585"/>
      <c r="L31" s="585"/>
      <c r="M31" s="585"/>
      <c r="N31" s="585"/>
      <c r="O31" s="576" t="s">
        <v>875</v>
      </c>
      <c r="Q31" s="578" t="s">
        <v>806</v>
      </c>
      <c r="R31" s="354">
        <v>1</v>
      </c>
      <c r="S31" s="587" t="s">
        <v>872</v>
      </c>
      <c r="T31" s="376">
        <v>2</v>
      </c>
      <c r="U31" s="376">
        <v>0</v>
      </c>
      <c r="V31" s="376">
        <f>T31*3+U31*0</f>
        <v>6</v>
      </c>
    </row>
    <row r="32" spans="1:22" ht="17.25" thickBot="1" thickTop="1">
      <c r="A32" s="369" t="e">
        <f>IF(#REF!&lt;&gt;#REF!,#REF!,"")</f>
        <v>#REF!</v>
      </c>
      <c r="B32" s="377">
        <v>27</v>
      </c>
      <c r="C32" s="388" t="s">
        <v>300</v>
      </c>
      <c r="D32" s="371">
        <v>3</v>
      </c>
      <c r="E32" s="372" t="s">
        <v>126</v>
      </c>
      <c r="F32" s="373" t="s">
        <v>289</v>
      </c>
      <c r="G32" s="374" t="s">
        <v>198</v>
      </c>
      <c r="H32" s="375" t="str">
        <f>VLOOKUP(E32,MD!$C$6:$E$44,3,FALSE)</f>
        <v>後生仔</v>
      </c>
      <c r="I32" s="375" t="s">
        <v>289</v>
      </c>
      <c r="J32" s="375" t="str">
        <f>VLOOKUP(G32,MD!$C$6:$E$86,3,FALSE)</f>
        <v>SCAA-99</v>
      </c>
      <c r="K32" s="585"/>
      <c r="L32" s="585"/>
      <c r="M32" s="585"/>
      <c r="N32" s="585"/>
      <c r="O32" s="576" t="s">
        <v>875</v>
      </c>
      <c r="R32" s="354">
        <v>2</v>
      </c>
      <c r="S32" s="587" t="s">
        <v>873</v>
      </c>
      <c r="T32" s="376">
        <v>1</v>
      </c>
      <c r="U32" s="376">
        <v>1</v>
      </c>
      <c r="V32" s="376">
        <f>T32*3+U32*0</f>
        <v>3</v>
      </c>
    </row>
    <row r="33" spans="1:24" ht="17.25" thickBot="1" thickTop="1">
      <c r="A33" s="369" t="e">
        <f>IF(#REF!&lt;&gt;#REF!,#REF!,"")</f>
        <v>#REF!</v>
      </c>
      <c r="B33" s="356">
        <v>28</v>
      </c>
      <c r="C33" s="388" t="s">
        <v>300</v>
      </c>
      <c r="D33" s="371">
        <v>4</v>
      </c>
      <c r="E33" s="372" t="s">
        <v>149</v>
      </c>
      <c r="F33" s="373" t="s">
        <v>289</v>
      </c>
      <c r="G33" s="374" t="s">
        <v>209</v>
      </c>
      <c r="H33" s="375" t="str">
        <f>VLOOKUP(E33,MD!$C$6:$E$44,3,FALSE)</f>
        <v>米奇與勁大隻傑</v>
      </c>
      <c r="I33" s="393" t="s">
        <v>289</v>
      </c>
      <c r="J33" s="375" t="str">
        <f>VLOOKUP(G33,MD!$C$6:$E$86,3,FALSE)</f>
        <v>呀哈</v>
      </c>
      <c r="K33" s="351">
        <v>2</v>
      </c>
      <c r="L33" s="351">
        <f>21+21</f>
        <v>42</v>
      </c>
      <c r="M33" s="351">
        <f>19+18</f>
        <v>37</v>
      </c>
      <c r="N33" s="351">
        <v>0</v>
      </c>
      <c r="O33" s="576" t="s">
        <v>870</v>
      </c>
      <c r="R33" s="354">
        <v>3</v>
      </c>
      <c r="S33" s="587" t="s">
        <v>874</v>
      </c>
      <c r="T33" s="376">
        <v>0</v>
      </c>
      <c r="U33" s="376">
        <v>2</v>
      </c>
      <c r="V33" s="376">
        <f>T33*3+U33*0</f>
        <v>0</v>
      </c>
      <c r="X33" s="347">
        <v>48</v>
      </c>
    </row>
    <row r="34" spans="1:22" ht="17.25" thickBot="1" thickTop="1">
      <c r="A34" s="369" t="e">
        <f>IF(#REF!&lt;&gt;#REF!,#REF!,"")</f>
        <v>#REF!</v>
      </c>
      <c r="B34" s="377">
        <v>29</v>
      </c>
      <c r="C34" s="388" t="s">
        <v>300</v>
      </c>
      <c r="D34" s="371">
        <v>5</v>
      </c>
      <c r="E34" s="372" t="s">
        <v>198</v>
      </c>
      <c r="F34" s="373" t="s">
        <v>289</v>
      </c>
      <c r="G34" s="374" t="s">
        <v>209</v>
      </c>
      <c r="H34" s="375" t="str">
        <f>VLOOKUP(E34,MD!$C$6:$E$44,3,FALSE)</f>
        <v>SCAA-99</v>
      </c>
      <c r="I34" s="355" t="s">
        <v>289</v>
      </c>
      <c r="J34" s="375" t="str">
        <f>VLOOKUP(G34,MD!$C$6:$E$86,3,FALSE)</f>
        <v>呀哈</v>
      </c>
      <c r="K34" s="585"/>
      <c r="L34" s="585"/>
      <c r="M34" s="585"/>
      <c r="N34" s="585"/>
      <c r="O34" s="576" t="s">
        <v>875</v>
      </c>
      <c r="R34" s="595"/>
      <c r="S34" s="593" t="s">
        <v>172</v>
      </c>
      <c r="T34" s="593"/>
      <c r="U34" s="593"/>
      <c r="V34" s="593"/>
    </row>
    <row r="35" spans="1:15" ht="17.25" thickBot="1" thickTop="1">
      <c r="A35" s="369" t="e">
        <f>IF(#REF!&lt;&gt;#REF!,#REF!,"")</f>
        <v>#REF!</v>
      </c>
      <c r="B35" s="356">
        <v>30</v>
      </c>
      <c r="C35" s="388" t="s">
        <v>300</v>
      </c>
      <c r="D35" s="381">
        <v>6</v>
      </c>
      <c r="E35" s="382" t="s">
        <v>126</v>
      </c>
      <c r="F35" s="383" t="s">
        <v>289</v>
      </c>
      <c r="G35" s="384" t="s">
        <v>149</v>
      </c>
      <c r="H35" s="375" t="str">
        <f>VLOOKUP(E35,MD!$C$6:$E$44,3,FALSE)</f>
        <v>後生仔</v>
      </c>
      <c r="I35" s="375" t="s">
        <v>289</v>
      </c>
      <c r="J35" s="375" t="str">
        <f>VLOOKUP(G35,MD!$C$6:$E$86,3,FALSE)</f>
        <v>米奇與勁大隻傑</v>
      </c>
      <c r="K35" s="585"/>
      <c r="L35" s="585"/>
      <c r="M35" s="585"/>
      <c r="N35" s="585"/>
      <c r="O35" s="576" t="s">
        <v>871</v>
      </c>
    </row>
    <row r="36" spans="1:22" ht="17.25" thickBot="1" thickTop="1">
      <c r="A36" s="369" t="e">
        <f>IF(#REF!&lt;&gt;#REF!,#REF!,"")</f>
        <v>#REF!</v>
      </c>
      <c r="B36" s="377">
        <v>31</v>
      </c>
      <c r="C36" s="392" t="s">
        <v>301</v>
      </c>
      <c r="D36" s="371">
        <v>1</v>
      </c>
      <c r="E36" s="391" t="s">
        <v>130</v>
      </c>
      <c r="F36" s="386" t="s">
        <v>289</v>
      </c>
      <c r="G36" s="387" t="s">
        <v>211</v>
      </c>
      <c r="H36" s="375" t="str">
        <f>VLOOKUP(E36,MD!$C$6:$E$44,3,FALSE)</f>
        <v>SKTL</v>
      </c>
      <c r="I36" s="375" t="s">
        <v>289</v>
      </c>
      <c r="J36" s="375" t="str">
        <f>VLOOKUP(G36,MD!$C$6:$E$86,3,FALSE)</f>
        <v>一般貨色</v>
      </c>
      <c r="K36" s="351">
        <v>2</v>
      </c>
      <c r="L36" s="351">
        <f>21+21</f>
        <v>42</v>
      </c>
      <c r="M36" s="351">
        <f>2+8</f>
        <v>10</v>
      </c>
      <c r="N36" s="351">
        <v>0</v>
      </c>
      <c r="O36" s="576" t="s">
        <v>851</v>
      </c>
      <c r="R36" s="368" t="s">
        <v>286</v>
      </c>
      <c r="S36" s="345" t="s">
        <v>46</v>
      </c>
      <c r="T36" s="345" t="s">
        <v>287</v>
      </c>
      <c r="U36" s="345" t="s">
        <v>288</v>
      </c>
      <c r="V36" s="345" t="s">
        <v>57</v>
      </c>
    </row>
    <row r="37" spans="1:22" ht="17.25" thickBot="1" thickTop="1">
      <c r="A37" s="369" t="e">
        <f>IF(#REF!&lt;&gt;#REF!,#REF!,"")</f>
        <v>#REF!</v>
      </c>
      <c r="B37" s="356">
        <v>32</v>
      </c>
      <c r="C37" s="388" t="s">
        <v>301</v>
      </c>
      <c r="D37" s="371">
        <v>2</v>
      </c>
      <c r="E37" s="372" t="s">
        <v>146</v>
      </c>
      <c r="F37" s="373" t="s">
        <v>289</v>
      </c>
      <c r="G37" s="374" t="s">
        <v>199</v>
      </c>
      <c r="H37" s="375" t="str">
        <f>VLOOKUP(E37,MD!$C$6:$E$44,3,FALSE)</f>
        <v>傻烽</v>
      </c>
      <c r="I37" s="375" t="s">
        <v>289</v>
      </c>
      <c r="J37" s="375" t="str">
        <f>VLOOKUP(G37,MD!$C$6:$E$86,3,FALSE)</f>
        <v>SCAA K&amp;L</v>
      </c>
      <c r="K37" s="351">
        <v>2</v>
      </c>
      <c r="L37" s="351">
        <f>18+22+15</f>
        <v>55</v>
      </c>
      <c r="M37" s="351">
        <f>21+20+8</f>
        <v>49</v>
      </c>
      <c r="N37" s="351">
        <v>1</v>
      </c>
      <c r="O37" s="576" t="s">
        <v>852</v>
      </c>
      <c r="Q37" s="578" t="s">
        <v>807</v>
      </c>
      <c r="R37" s="354">
        <v>1</v>
      </c>
      <c r="S37" s="587" t="s">
        <v>857</v>
      </c>
      <c r="T37" s="376">
        <v>3</v>
      </c>
      <c r="U37" s="376">
        <v>0</v>
      </c>
      <c r="V37" s="376">
        <f>T37*3+U37*0</f>
        <v>9</v>
      </c>
    </row>
    <row r="38" spans="1:22" ht="18" thickBot="1" thickTop="1">
      <c r="A38" s="369" t="e">
        <f>IF(#REF!&lt;&gt;#REF!,#REF!,"")</f>
        <v>#REF!</v>
      </c>
      <c r="B38" s="377">
        <v>33</v>
      </c>
      <c r="C38" s="388" t="s">
        <v>301</v>
      </c>
      <c r="D38" s="371">
        <v>3</v>
      </c>
      <c r="E38" s="372" t="s">
        <v>130</v>
      </c>
      <c r="F38" s="373" t="s">
        <v>289</v>
      </c>
      <c r="G38" s="374" t="s">
        <v>199</v>
      </c>
      <c r="H38" s="375" t="str">
        <f>VLOOKUP(E38,MD!$C$6:$E$44,3,FALSE)</f>
        <v>SKTL</v>
      </c>
      <c r="I38" s="375" t="s">
        <v>289</v>
      </c>
      <c r="J38" s="375" t="str">
        <f>VLOOKUP(G38,MD!$C$6:$E$86,3,FALSE)</f>
        <v>SCAA K&amp;L</v>
      </c>
      <c r="K38" s="351">
        <v>2</v>
      </c>
      <c r="L38" s="351">
        <f>21+21</f>
        <v>42</v>
      </c>
      <c r="M38" s="351">
        <f>15+17</f>
        <v>32</v>
      </c>
      <c r="N38" s="351">
        <v>0</v>
      </c>
      <c r="O38" s="576" t="s">
        <v>853</v>
      </c>
      <c r="R38" s="354">
        <v>2</v>
      </c>
      <c r="S38" s="588" t="s">
        <v>856</v>
      </c>
      <c r="T38" s="376">
        <v>2</v>
      </c>
      <c r="U38" s="376">
        <v>1</v>
      </c>
      <c r="V38" s="376">
        <f>T38*3+U38*0</f>
        <v>6</v>
      </c>
    </row>
    <row r="39" spans="1:24" ht="17.25" thickBot="1" thickTop="1">
      <c r="A39" s="369" t="e">
        <f>IF(#REF!&lt;&gt;#REF!,#REF!,"")</f>
        <v>#REF!</v>
      </c>
      <c r="B39" s="356">
        <v>34</v>
      </c>
      <c r="C39" s="388" t="s">
        <v>301</v>
      </c>
      <c r="D39" s="371">
        <v>4</v>
      </c>
      <c r="E39" s="372" t="s">
        <v>146</v>
      </c>
      <c r="F39" s="373" t="s">
        <v>289</v>
      </c>
      <c r="G39" s="374" t="s">
        <v>211</v>
      </c>
      <c r="H39" s="375" t="str">
        <f>VLOOKUP(E39,MD!$C$6:$E$44,3,FALSE)</f>
        <v>傻烽</v>
      </c>
      <c r="I39" s="375" t="s">
        <v>289</v>
      </c>
      <c r="J39" s="375" t="str">
        <f>VLOOKUP(G39,MD!$C$6:$E$86,3,FALSE)</f>
        <v>一般貨色</v>
      </c>
      <c r="K39" s="351">
        <v>2</v>
      </c>
      <c r="L39" s="351">
        <f>21+21</f>
        <v>42</v>
      </c>
      <c r="M39" s="351">
        <f>6+13</f>
        <v>19</v>
      </c>
      <c r="N39" s="351">
        <v>0</v>
      </c>
      <c r="O39" s="576" t="s">
        <v>854</v>
      </c>
      <c r="R39" s="354">
        <v>3</v>
      </c>
      <c r="S39" s="587" t="s">
        <v>859</v>
      </c>
      <c r="T39" s="376">
        <v>1</v>
      </c>
      <c r="U39" s="376">
        <v>2</v>
      </c>
      <c r="V39" s="376">
        <f>T39*3+U39*0</f>
        <v>3</v>
      </c>
      <c r="X39" s="347">
        <v>48</v>
      </c>
    </row>
    <row r="40" spans="1:24" ht="18" thickBot="1" thickTop="1">
      <c r="A40" s="369" t="e">
        <f>IF(#REF!&lt;&gt;#REF!,#REF!,"")</f>
        <v>#REF!</v>
      </c>
      <c r="B40" s="377">
        <v>35</v>
      </c>
      <c r="C40" s="388" t="s">
        <v>301</v>
      </c>
      <c r="D40" s="371">
        <v>5</v>
      </c>
      <c r="E40" s="372" t="s">
        <v>199</v>
      </c>
      <c r="F40" s="373" t="s">
        <v>289</v>
      </c>
      <c r="G40" s="374" t="s">
        <v>211</v>
      </c>
      <c r="H40" s="375" t="str">
        <f>VLOOKUP(E40,MD!$C$6:$E$44,3,FALSE)</f>
        <v>SCAA K&amp;L</v>
      </c>
      <c r="I40" s="375" t="s">
        <v>289</v>
      </c>
      <c r="J40" s="375" t="str">
        <f>VLOOKUP(G40,MD!$C$6:$E$86,3,FALSE)</f>
        <v>一般貨色</v>
      </c>
      <c r="K40" s="351">
        <v>2</v>
      </c>
      <c r="L40" s="351">
        <f>21+21</f>
        <v>42</v>
      </c>
      <c r="M40" s="351">
        <f>12+16</f>
        <v>28</v>
      </c>
      <c r="N40" s="351">
        <v>0</v>
      </c>
      <c r="O40" s="576" t="s">
        <v>855</v>
      </c>
      <c r="R40" s="354">
        <v>4</v>
      </c>
      <c r="S40" s="588" t="s">
        <v>858</v>
      </c>
      <c r="T40" s="376">
        <v>0</v>
      </c>
      <c r="U40" s="376">
        <v>3</v>
      </c>
      <c r="V40" s="376">
        <f>T40*3+U40*0</f>
        <v>0</v>
      </c>
      <c r="X40" s="347">
        <v>36</v>
      </c>
    </row>
    <row r="41" spans="1:15" ht="17.25" thickBot="1" thickTop="1">
      <c r="A41" s="369" t="e">
        <f>IF(#REF!&lt;&gt;#REF!,#REF!,"")</f>
        <v>#REF!</v>
      </c>
      <c r="B41" s="356">
        <v>36</v>
      </c>
      <c r="C41" s="380" t="s">
        <v>301</v>
      </c>
      <c r="D41" s="381">
        <v>6</v>
      </c>
      <c r="E41" s="382" t="s">
        <v>130</v>
      </c>
      <c r="F41" s="383" t="s">
        <v>289</v>
      </c>
      <c r="G41" s="384" t="s">
        <v>146</v>
      </c>
      <c r="H41" s="375" t="str">
        <f>VLOOKUP(E41,MD!$C$6:$E$44,3,FALSE)</f>
        <v>SKTL</v>
      </c>
      <c r="I41" s="375" t="s">
        <v>289</v>
      </c>
      <c r="J41" s="375" t="str">
        <f>VLOOKUP(G41,MD!$C$6:$E$86,3,FALSE)</f>
        <v>傻烽</v>
      </c>
      <c r="K41" s="351">
        <v>2</v>
      </c>
      <c r="L41" s="351">
        <f>24+21+15</f>
        <v>60</v>
      </c>
      <c r="M41" s="351">
        <f>26+19+10</f>
        <v>55</v>
      </c>
      <c r="N41" s="351">
        <v>1</v>
      </c>
      <c r="O41" s="576" t="s">
        <v>860</v>
      </c>
    </row>
    <row r="42" spans="1:22" ht="17.25" thickBot="1" thickTop="1">
      <c r="A42" s="369" t="e">
        <f>IF(#REF!&lt;&gt;#REF!,#REF!,"")</f>
        <v>#REF!</v>
      </c>
      <c r="B42" s="377">
        <v>37</v>
      </c>
      <c r="C42" s="370" t="s">
        <v>302</v>
      </c>
      <c r="D42" s="371">
        <v>1</v>
      </c>
      <c r="E42" s="391" t="s">
        <v>134</v>
      </c>
      <c r="F42" s="386" t="s">
        <v>289</v>
      </c>
      <c r="G42" s="387" t="s">
        <v>213</v>
      </c>
      <c r="H42" s="375" t="str">
        <f>VLOOKUP(E42,MD!$C$6:$E$44,3,FALSE)</f>
        <v>handshake</v>
      </c>
      <c r="I42" s="375" t="s">
        <v>289</v>
      </c>
      <c r="J42" s="375" t="str">
        <f>VLOOKUP(G42,MD!$C$6:$E$86,3,FALSE)</f>
        <v>肇青一隊</v>
      </c>
      <c r="K42" s="351">
        <v>2</v>
      </c>
      <c r="L42" s="351">
        <f>21+21</f>
        <v>42</v>
      </c>
      <c r="M42" s="351">
        <f>9+17</f>
        <v>26</v>
      </c>
      <c r="N42" s="351">
        <v>0</v>
      </c>
      <c r="O42" s="576" t="s">
        <v>865</v>
      </c>
      <c r="R42" s="368" t="s">
        <v>286</v>
      </c>
      <c r="S42" s="345" t="s">
        <v>46</v>
      </c>
      <c r="T42" s="345" t="s">
        <v>287</v>
      </c>
      <c r="U42" s="345" t="s">
        <v>288</v>
      </c>
      <c r="V42" s="345" t="s">
        <v>57</v>
      </c>
    </row>
    <row r="43" spans="1:22" ht="17.25" thickBot="1" thickTop="1">
      <c r="A43" s="369" t="e">
        <f>IF(#REF!&lt;&gt;#REF!,#REF!,"")</f>
        <v>#REF!</v>
      </c>
      <c r="B43" s="356">
        <v>38</v>
      </c>
      <c r="C43" s="370" t="s">
        <v>302</v>
      </c>
      <c r="D43" s="371">
        <v>2</v>
      </c>
      <c r="E43" s="372" t="s">
        <v>143</v>
      </c>
      <c r="F43" s="373" t="s">
        <v>289</v>
      </c>
      <c r="G43" s="374" t="s">
        <v>200</v>
      </c>
      <c r="H43" s="375" t="str">
        <f>VLOOKUP(E43,MD!$C$6:$E$44,3,FALSE)</f>
        <v>紅藍</v>
      </c>
      <c r="I43" s="375" t="s">
        <v>289</v>
      </c>
      <c r="J43" s="375" t="str">
        <f>VLOOKUP(G43,MD!$C$6:$E$86,3,FALSE)</f>
        <v>肇青二隊</v>
      </c>
      <c r="K43" s="351">
        <v>2</v>
      </c>
      <c r="L43" s="351">
        <f>21+21</f>
        <v>42</v>
      </c>
      <c r="M43" s="351">
        <f>7+10</f>
        <v>17</v>
      </c>
      <c r="N43" s="351">
        <v>0</v>
      </c>
      <c r="O43" s="576" t="s">
        <v>861</v>
      </c>
      <c r="Q43" s="578" t="s">
        <v>808</v>
      </c>
      <c r="R43" s="354">
        <v>1</v>
      </c>
      <c r="S43" s="587" t="s">
        <v>879</v>
      </c>
      <c r="T43" s="376">
        <v>3</v>
      </c>
      <c r="U43" s="376">
        <v>0</v>
      </c>
      <c r="V43" s="376">
        <f>T43*3+U43*0</f>
        <v>9</v>
      </c>
    </row>
    <row r="44" spans="1:22" ht="17.25" thickBot="1" thickTop="1">
      <c r="A44" s="369" t="e">
        <f>IF(#REF!&lt;&gt;#REF!,#REF!,"")</f>
        <v>#REF!</v>
      </c>
      <c r="B44" s="377">
        <v>39</v>
      </c>
      <c r="C44" s="370" t="s">
        <v>302</v>
      </c>
      <c r="D44" s="371">
        <v>3</v>
      </c>
      <c r="E44" s="372" t="s">
        <v>134</v>
      </c>
      <c r="F44" s="373" t="s">
        <v>289</v>
      </c>
      <c r="G44" s="374" t="s">
        <v>200</v>
      </c>
      <c r="H44" s="375" t="str">
        <f>VLOOKUP(E44,MD!$C$6:$E$44,3,FALSE)</f>
        <v>handshake</v>
      </c>
      <c r="I44" s="375" t="s">
        <v>289</v>
      </c>
      <c r="J44" s="375" t="str">
        <f>VLOOKUP(G44,MD!$C$6:$E$86,3,FALSE)</f>
        <v>肇青二隊</v>
      </c>
      <c r="K44" s="351">
        <v>2</v>
      </c>
      <c r="L44" s="351">
        <f>21+24</f>
        <v>45</v>
      </c>
      <c r="M44" s="351">
        <f>18+22</f>
        <v>40</v>
      </c>
      <c r="N44" s="351">
        <v>0</v>
      </c>
      <c r="O44" s="576" t="s">
        <v>876</v>
      </c>
      <c r="R44" s="354">
        <v>2</v>
      </c>
      <c r="S44" s="587" t="s">
        <v>131</v>
      </c>
      <c r="T44" s="376">
        <v>2</v>
      </c>
      <c r="U44" s="376">
        <v>1</v>
      </c>
      <c r="V44" s="376">
        <f>T44*3+U44*0</f>
        <v>6</v>
      </c>
    </row>
    <row r="45" spans="1:24" ht="17.25" thickBot="1" thickTop="1">
      <c r="A45" s="369" t="e">
        <f>IF(#REF!&lt;&gt;#REF!,#REF!,"")</f>
        <v>#REF!</v>
      </c>
      <c r="B45" s="356">
        <v>40</v>
      </c>
      <c r="C45" s="370" t="s">
        <v>302</v>
      </c>
      <c r="D45" s="371">
        <v>4</v>
      </c>
      <c r="E45" s="372" t="s">
        <v>143</v>
      </c>
      <c r="F45" s="373" t="s">
        <v>289</v>
      </c>
      <c r="G45" s="374" t="s">
        <v>213</v>
      </c>
      <c r="H45" s="375" t="str">
        <f>VLOOKUP(E45,MD!$C$6:$E$44,3,FALSE)</f>
        <v>紅藍</v>
      </c>
      <c r="I45" s="375" t="s">
        <v>289</v>
      </c>
      <c r="J45" s="375" t="str">
        <f>VLOOKUP(G45,MD!$C$6:$E$86,3,FALSE)</f>
        <v>肇青一隊</v>
      </c>
      <c r="K45" s="351">
        <v>2</v>
      </c>
      <c r="L45" s="351">
        <f>21+21</f>
        <v>42</v>
      </c>
      <c r="M45" s="351">
        <f>13+12</f>
        <v>25</v>
      </c>
      <c r="N45" s="351">
        <v>0</v>
      </c>
      <c r="O45" s="576" t="s">
        <v>877</v>
      </c>
      <c r="R45" s="596">
        <v>3</v>
      </c>
      <c r="S45" s="587" t="s">
        <v>880</v>
      </c>
      <c r="T45" s="587">
        <v>0</v>
      </c>
      <c r="U45" s="587">
        <v>2</v>
      </c>
      <c r="V45" s="587">
        <f>T45*3+U45*0</f>
        <v>0</v>
      </c>
      <c r="X45" s="347">
        <v>48</v>
      </c>
    </row>
    <row r="46" spans="2:24" ht="17.25" thickBot="1" thickTop="1">
      <c r="B46" s="377">
        <v>41</v>
      </c>
      <c r="C46" s="370" t="s">
        <v>302</v>
      </c>
      <c r="D46" s="371">
        <v>5</v>
      </c>
      <c r="E46" s="372" t="s">
        <v>200</v>
      </c>
      <c r="F46" s="373" t="s">
        <v>289</v>
      </c>
      <c r="G46" s="374" t="s">
        <v>213</v>
      </c>
      <c r="H46" s="375" t="str">
        <f>VLOOKUP(E46,MD!$C$6:$E$44,3,FALSE)</f>
        <v>肇青二隊</v>
      </c>
      <c r="I46" s="375" t="s">
        <v>289</v>
      </c>
      <c r="J46" s="375" t="str">
        <f>VLOOKUP(G46,MD!$C$6:$E$86,3,FALSE)</f>
        <v>肇青一隊</v>
      </c>
      <c r="K46" s="585"/>
      <c r="L46" s="585"/>
      <c r="M46" s="585"/>
      <c r="N46" s="585"/>
      <c r="O46" s="576" t="s">
        <v>831</v>
      </c>
      <c r="R46" s="596">
        <v>4</v>
      </c>
      <c r="S46" s="587" t="s">
        <v>881</v>
      </c>
      <c r="T46" s="587">
        <v>0</v>
      </c>
      <c r="U46" s="587">
        <v>2</v>
      </c>
      <c r="V46" s="587">
        <f>T46*3+U46*0</f>
        <v>0</v>
      </c>
      <c r="X46" s="347">
        <v>36</v>
      </c>
    </row>
    <row r="47" spans="2:15" ht="17.25" thickBot="1" thickTop="1">
      <c r="B47" s="356">
        <v>42</v>
      </c>
      <c r="C47" s="380" t="s">
        <v>302</v>
      </c>
      <c r="D47" s="381">
        <v>6</v>
      </c>
      <c r="E47" s="382" t="s">
        <v>134</v>
      </c>
      <c r="F47" s="383" t="s">
        <v>289</v>
      </c>
      <c r="G47" s="384" t="s">
        <v>143</v>
      </c>
      <c r="H47" s="375" t="str">
        <f>VLOOKUP(E47,MD!$C$6:$E$44,3,FALSE)</f>
        <v>handshake</v>
      </c>
      <c r="I47" s="375" t="s">
        <v>289</v>
      </c>
      <c r="J47" s="375" t="str">
        <f>VLOOKUP(G47,MD!$C$6:$E$86,3,FALSE)</f>
        <v>紅藍</v>
      </c>
      <c r="K47" s="351">
        <v>0</v>
      </c>
      <c r="L47" s="351">
        <f>20+14</f>
        <v>34</v>
      </c>
      <c r="M47" s="351">
        <f>21+21</f>
        <v>42</v>
      </c>
      <c r="N47" s="351">
        <v>2</v>
      </c>
      <c r="O47" s="576" t="s">
        <v>878</v>
      </c>
    </row>
    <row r="48" spans="2:22" ht="17.25" thickBot="1" thickTop="1">
      <c r="B48" s="377">
        <v>43</v>
      </c>
      <c r="C48" s="370" t="s">
        <v>303</v>
      </c>
      <c r="D48" s="371">
        <v>1</v>
      </c>
      <c r="E48" s="372" t="s">
        <v>137</v>
      </c>
      <c r="F48" s="373" t="s">
        <v>289</v>
      </c>
      <c r="G48" s="374" t="s">
        <v>215</v>
      </c>
      <c r="H48" s="375" t="str">
        <f>VLOOKUP(E48,MD!$C$6:$E$44,3,FALSE)</f>
        <v>撈碧鵰</v>
      </c>
      <c r="I48" s="375" t="s">
        <v>289</v>
      </c>
      <c r="J48" s="375" t="str">
        <f>VLOOKUP(G48,MD!$C$6:$E$86,3,FALSE)</f>
        <v>隨心96ers</v>
      </c>
      <c r="K48" s="351">
        <v>0</v>
      </c>
      <c r="L48" s="351">
        <f>12+9</f>
        <v>21</v>
      </c>
      <c r="M48" s="351">
        <f>21+21</f>
        <v>42</v>
      </c>
      <c r="N48" s="351">
        <v>2</v>
      </c>
      <c r="O48" s="576" t="s">
        <v>882</v>
      </c>
      <c r="R48" s="368" t="s">
        <v>286</v>
      </c>
      <c r="S48" s="345" t="s">
        <v>46</v>
      </c>
      <c r="T48" s="345" t="s">
        <v>287</v>
      </c>
      <c r="U48" s="345" t="s">
        <v>288</v>
      </c>
      <c r="V48" s="345" t="s">
        <v>57</v>
      </c>
    </row>
    <row r="49" spans="2:22" ht="17.25" thickBot="1" thickTop="1">
      <c r="B49" s="356">
        <v>44</v>
      </c>
      <c r="C49" s="370" t="s">
        <v>303</v>
      </c>
      <c r="D49" s="371">
        <v>2</v>
      </c>
      <c r="E49" s="372" t="s">
        <v>140</v>
      </c>
      <c r="F49" s="373" t="s">
        <v>289</v>
      </c>
      <c r="G49" s="374" t="s">
        <v>201</v>
      </c>
      <c r="H49" s="375" t="str">
        <f>VLOOKUP(E49,MD!$C$6:$E$44,3,FALSE)</f>
        <v>Alps琨</v>
      </c>
      <c r="I49" s="375" t="s">
        <v>289</v>
      </c>
      <c r="J49" s="375" t="str">
        <f>VLOOKUP(G49,MD!$C$6:$E$86,3,FALSE)</f>
        <v>隨心 2</v>
      </c>
      <c r="K49" s="351">
        <v>2</v>
      </c>
      <c r="L49" s="294">
        <f>21+21</f>
        <v>42</v>
      </c>
      <c r="M49" s="351">
        <f>11+10</f>
        <v>21</v>
      </c>
      <c r="N49" s="351">
        <v>0</v>
      </c>
      <c r="O49" s="576" t="s">
        <v>883</v>
      </c>
      <c r="Q49" s="578" t="s">
        <v>809</v>
      </c>
      <c r="R49" s="354">
        <v>1</v>
      </c>
      <c r="S49" s="587" t="s">
        <v>888</v>
      </c>
      <c r="T49" s="376">
        <v>3</v>
      </c>
      <c r="U49" s="376">
        <v>0</v>
      </c>
      <c r="V49" s="376">
        <f>T49*3+U49*0</f>
        <v>9</v>
      </c>
    </row>
    <row r="50" spans="2:22" ht="17.25" thickBot="1" thickTop="1">
      <c r="B50" s="377">
        <v>45</v>
      </c>
      <c r="C50" s="370" t="s">
        <v>303</v>
      </c>
      <c r="D50" s="371">
        <v>3</v>
      </c>
      <c r="E50" s="372" t="s">
        <v>137</v>
      </c>
      <c r="F50" s="373" t="s">
        <v>289</v>
      </c>
      <c r="G50" s="374" t="s">
        <v>201</v>
      </c>
      <c r="H50" s="375" t="str">
        <f>VLOOKUP(E50,MD!$C$6:$E$44,3,FALSE)</f>
        <v>撈碧鵰</v>
      </c>
      <c r="I50" s="375" t="s">
        <v>289</v>
      </c>
      <c r="J50" s="375" t="str">
        <f>VLOOKUP(G50,MD!$C$6:$E$86,3,FALSE)</f>
        <v>隨心 2</v>
      </c>
      <c r="K50" s="351">
        <v>0</v>
      </c>
      <c r="L50" s="351">
        <f>7+10</f>
        <v>17</v>
      </c>
      <c r="M50" s="351">
        <f>21+21</f>
        <v>42</v>
      </c>
      <c r="N50" s="351">
        <v>2</v>
      </c>
      <c r="O50" s="576" t="s">
        <v>884</v>
      </c>
      <c r="R50" s="354">
        <v>2</v>
      </c>
      <c r="S50" s="587" t="s">
        <v>889</v>
      </c>
      <c r="T50" s="376">
        <v>2</v>
      </c>
      <c r="U50" s="376">
        <v>1</v>
      </c>
      <c r="V50" s="376">
        <f>T50*3+U50*0</f>
        <v>6</v>
      </c>
    </row>
    <row r="51" spans="2:24" ht="17.25" thickBot="1" thickTop="1">
      <c r="B51" s="356">
        <v>46</v>
      </c>
      <c r="C51" s="370" t="s">
        <v>303</v>
      </c>
      <c r="D51" s="371">
        <v>4</v>
      </c>
      <c r="E51" s="372" t="s">
        <v>140</v>
      </c>
      <c r="F51" s="373" t="s">
        <v>289</v>
      </c>
      <c r="G51" s="374" t="s">
        <v>215</v>
      </c>
      <c r="H51" s="375" t="str">
        <f>VLOOKUP(E51,MD!$C$6:$E$44,3,FALSE)</f>
        <v>Alps琨</v>
      </c>
      <c r="I51" s="375" t="s">
        <v>289</v>
      </c>
      <c r="J51" s="375" t="str">
        <f>VLOOKUP(G51,MD!$C$6:$E$86,3,FALSE)</f>
        <v>隨心96ers</v>
      </c>
      <c r="K51" s="351">
        <v>2</v>
      </c>
      <c r="L51" s="351">
        <f>21+21</f>
        <v>42</v>
      </c>
      <c r="M51" s="351">
        <f>13+13</f>
        <v>26</v>
      </c>
      <c r="N51" s="351">
        <v>0</v>
      </c>
      <c r="O51" s="576" t="s">
        <v>885</v>
      </c>
      <c r="R51" s="354">
        <v>3</v>
      </c>
      <c r="S51" s="587" t="s">
        <v>890</v>
      </c>
      <c r="T51" s="376">
        <v>1</v>
      </c>
      <c r="U51" s="376">
        <v>2</v>
      </c>
      <c r="V51" s="376">
        <f>T51*3+U51*0</f>
        <v>3</v>
      </c>
      <c r="X51" s="347">
        <v>48</v>
      </c>
    </row>
    <row r="52" spans="2:24" ht="17.25" thickBot="1" thickTop="1">
      <c r="B52" s="377">
        <v>47</v>
      </c>
      <c r="C52" s="370" t="s">
        <v>303</v>
      </c>
      <c r="D52" s="371">
        <v>5</v>
      </c>
      <c r="E52" s="372" t="s">
        <v>201</v>
      </c>
      <c r="F52" s="373" t="s">
        <v>289</v>
      </c>
      <c r="G52" s="374" t="s">
        <v>215</v>
      </c>
      <c r="H52" s="375" t="str">
        <f>VLOOKUP(E52,MD!$C$6:$E$44,3,FALSE)</f>
        <v>隨心 2</v>
      </c>
      <c r="I52" s="375" t="s">
        <v>289</v>
      </c>
      <c r="J52" s="375" t="str">
        <f>VLOOKUP(G52,MD!$C$6:$E$86,3,FALSE)</f>
        <v>隨心96ers</v>
      </c>
      <c r="K52" s="351">
        <v>2</v>
      </c>
      <c r="L52" s="294">
        <f>21+21</f>
        <v>42</v>
      </c>
      <c r="M52" s="351">
        <f>18+18</f>
        <v>36</v>
      </c>
      <c r="N52" s="351">
        <v>0</v>
      </c>
      <c r="O52" s="576" t="s">
        <v>886</v>
      </c>
      <c r="R52" s="354">
        <v>4</v>
      </c>
      <c r="S52" s="587" t="s">
        <v>891</v>
      </c>
      <c r="T52" s="376">
        <v>0</v>
      </c>
      <c r="U52" s="376">
        <v>3</v>
      </c>
      <c r="V52" s="376">
        <f>T52*3+U52*0</f>
        <v>0</v>
      </c>
      <c r="X52" s="347">
        <v>36</v>
      </c>
    </row>
    <row r="53" spans="2:15" ht="16.5" thickTop="1">
      <c r="B53" s="356">
        <v>48</v>
      </c>
      <c r="C53" s="394" t="s">
        <v>303</v>
      </c>
      <c r="D53" s="381">
        <v>6</v>
      </c>
      <c r="E53" s="382" t="s">
        <v>137</v>
      </c>
      <c r="F53" s="383" t="s">
        <v>289</v>
      </c>
      <c r="G53" s="384" t="s">
        <v>140</v>
      </c>
      <c r="H53" s="393" t="str">
        <f>VLOOKUP(E53,MD!$C$6:$E$44,3,FALSE)</f>
        <v>撈碧鵰</v>
      </c>
      <c r="I53" s="393" t="s">
        <v>289</v>
      </c>
      <c r="J53" s="395" t="str">
        <f>VLOOKUP(G53,MD!$C$6:$E$86,3,FALSE)</f>
        <v>Alps琨</v>
      </c>
      <c r="K53" s="351">
        <v>0</v>
      </c>
      <c r="L53" s="351">
        <f>15+13</f>
        <v>28</v>
      </c>
      <c r="M53" s="351">
        <f>21+21</f>
        <v>42</v>
      </c>
      <c r="N53" s="351">
        <v>2</v>
      </c>
      <c r="O53" s="576" t="s">
        <v>887</v>
      </c>
    </row>
    <row r="54" spans="2:10" ht="16.5" hidden="1" thickBot="1">
      <c r="B54" s="396"/>
      <c r="C54" s="396"/>
      <c r="D54" s="396"/>
      <c r="E54" s="396"/>
      <c r="F54" s="396"/>
      <c r="G54" s="396"/>
      <c r="H54" s="355" t="e">
        <f>VLOOKUP(E54,MD!$C$6:$E$44,3,FALSE)</f>
        <v>#N/A</v>
      </c>
      <c r="J54" s="355" t="e">
        <f>VLOOKUP(G54,MD!$C$6:$E$45,3,FALSE)</f>
        <v>#N/A</v>
      </c>
    </row>
  </sheetData>
  <sheetProtection selectLockedCells="1" selectUnlockedCells="1"/>
  <mergeCells count="1">
    <mergeCell ref="H3:J3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="60" zoomScaleNormal="60" zoomScalePageLayoutView="0" workbookViewId="0" topLeftCell="A1">
      <selection activeCell="R16" sqref="R16"/>
    </sheetView>
  </sheetViews>
  <sheetFormatPr defaultColWidth="9.00390625" defaultRowHeight="16.5"/>
  <cols>
    <col min="1" max="1" width="4.375" style="401" customWidth="1"/>
    <col min="2" max="4" width="10.625" style="401" customWidth="1"/>
    <col min="5" max="5" width="30.625" style="403" customWidth="1"/>
    <col min="6" max="6" width="20.625" style="403" customWidth="1"/>
    <col min="7" max="7" width="13.875" style="403" customWidth="1"/>
    <col min="8" max="8" width="8.625" style="403" customWidth="1"/>
    <col min="9" max="9" width="20.625" style="403" customWidth="1"/>
    <col min="10" max="10" width="13.875" style="403" customWidth="1"/>
    <col min="11" max="11" width="8.625" style="403" customWidth="1"/>
    <col min="12" max="12" width="16.125" style="403" customWidth="1"/>
    <col min="13" max="13" width="20.375" style="401" customWidth="1"/>
    <col min="14" max="14" width="10.875" style="399" bestFit="1" customWidth="1"/>
    <col min="15" max="15" width="20.625" style="401" customWidth="1"/>
    <col min="16" max="17" width="11.625" style="598" hidden="1" customWidth="1"/>
    <col min="18" max="16384" width="9.00390625" style="401" customWidth="1"/>
  </cols>
  <sheetData>
    <row r="1" spans="2:12" ht="21" customHeight="1">
      <c r="B1" s="397" t="s">
        <v>655</v>
      </c>
      <c r="C1" s="398"/>
      <c r="D1" s="398"/>
      <c r="E1" s="399"/>
      <c r="F1" s="400"/>
      <c r="G1" s="400"/>
      <c r="H1" s="400"/>
      <c r="I1" s="400"/>
      <c r="J1" s="400"/>
      <c r="K1" s="400"/>
      <c r="L1" s="400"/>
    </row>
    <row r="2" spans="2:10" ht="21" customHeight="1">
      <c r="B2" s="402" t="s">
        <v>656</v>
      </c>
      <c r="C2" s="402"/>
      <c r="D2" s="402"/>
      <c r="E2" s="400"/>
      <c r="F2" s="400"/>
      <c r="G2" s="400"/>
      <c r="H2" s="400"/>
      <c r="I2" s="400"/>
      <c r="J2" s="400"/>
    </row>
    <row r="3" spans="2:15" ht="21" customHeight="1">
      <c r="B3" s="404" t="s">
        <v>657</v>
      </c>
      <c r="C3" s="405"/>
      <c r="D3" s="405"/>
      <c r="E3" s="406"/>
      <c r="M3" s="407"/>
      <c r="N3" s="408"/>
      <c r="O3" s="407"/>
    </row>
    <row r="4" spans="2:15" ht="21" customHeight="1">
      <c r="B4" s="409" t="s">
        <v>658</v>
      </c>
      <c r="C4" s="410" t="s">
        <v>45</v>
      </c>
      <c r="D4" s="410" t="s">
        <v>46</v>
      </c>
      <c r="E4" s="410" t="s">
        <v>47</v>
      </c>
      <c r="F4" s="411"/>
      <c r="G4" s="411"/>
      <c r="H4" s="412" t="s">
        <v>48</v>
      </c>
      <c r="I4" s="411"/>
      <c r="J4" s="411"/>
      <c r="K4" s="412" t="s">
        <v>48</v>
      </c>
      <c r="L4" s="411" t="s">
        <v>659</v>
      </c>
      <c r="M4" s="410" t="s">
        <v>50</v>
      </c>
      <c r="N4" s="410"/>
      <c r="O4" s="337"/>
    </row>
    <row r="5" spans="2:19" ht="21" customHeight="1">
      <c r="B5" s="413" t="s">
        <v>51</v>
      </c>
      <c r="C5" s="414" t="s">
        <v>660</v>
      </c>
      <c r="D5" s="415" t="s">
        <v>53</v>
      </c>
      <c r="E5" s="414" t="s">
        <v>661</v>
      </c>
      <c r="F5" s="415" t="s">
        <v>662</v>
      </c>
      <c r="G5" s="415" t="s">
        <v>663</v>
      </c>
      <c r="H5" s="416" t="s">
        <v>57</v>
      </c>
      <c r="I5" s="415" t="s">
        <v>664</v>
      </c>
      <c r="J5" s="415" t="s">
        <v>663</v>
      </c>
      <c r="K5" s="416" t="s">
        <v>57</v>
      </c>
      <c r="L5" s="415" t="s">
        <v>57</v>
      </c>
      <c r="M5" s="414" t="s">
        <v>660</v>
      </c>
      <c r="N5" s="410"/>
      <c r="O5" s="410" t="s">
        <v>665</v>
      </c>
      <c r="P5" s="29" t="s">
        <v>892</v>
      </c>
      <c r="Q5" s="597" t="s">
        <v>893</v>
      </c>
      <c r="R5" s="417"/>
      <c r="S5" s="417"/>
    </row>
    <row r="6" spans="2:17" ht="19.5" customHeight="1">
      <c r="B6" s="418">
        <v>1</v>
      </c>
      <c r="C6" s="419" t="str">
        <f aca="true" t="shared" si="0" ref="C6:C42">M6</f>
        <v>AA1</v>
      </c>
      <c r="D6" s="419">
        <v>1</v>
      </c>
      <c r="E6" s="419" t="s">
        <v>367</v>
      </c>
      <c r="F6" s="419" t="s">
        <v>666</v>
      </c>
      <c r="G6" s="419" t="s">
        <v>368</v>
      </c>
      <c r="H6" s="419">
        <v>111</v>
      </c>
      <c r="I6" s="419" t="s">
        <v>667</v>
      </c>
      <c r="J6" s="419" t="s">
        <v>369</v>
      </c>
      <c r="K6" s="419">
        <v>105</v>
      </c>
      <c r="L6" s="420">
        <f aca="true" t="shared" si="1" ref="L6:L29">H6+K6</f>
        <v>216</v>
      </c>
      <c r="M6" s="421" t="s">
        <v>65</v>
      </c>
      <c r="N6" s="422"/>
      <c r="O6" s="337"/>
      <c r="P6" s="598">
        <v>132</v>
      </c>
      <c r="Q6" s="598">
        <f>P6/2</f>
        <v>66</v>
      </c>
    </row>
    <row r="7" spans="2:17" ht="19.5" customHeight="1">
      <c r="B7" s="423">
        <v>2</v>
      </c>
      <c r="C7" s="337" t="str">
        <f t="shared" si="0"/>
        <v>AB1</v>
      </c>
      <c r="D7" s="337">
        <v>1</v>
      </c>
      <c r="E7" s="337" t="s">
        <v>370</v>
      </c>
      <c r="F7" s="337" t="s">
        <v>668</v>
      </c>
      <c r="G7" s="337" t="s">
        <v>371</v>
      </c>
      <c r="H7" s="337">
        <v>106.5</v>
      </c>
      <c r="I7" s="337" t="s">
        <v>669</v>
      </c>
      <c r="J7" s="337" t="s">
        <v>372</v>
      </c>
      <c r="K7" s="337">
        <v>106.5</v>
      </c>
      <c r="L7" s="424">
        <f t="shared" si="1"/>
        <v>213</v>
      </c>
      <c r="M7" s="339" t="s">
        <v>71</v>
      </c>
      <c r="N7" s="422"/>
      <c r="O7" s="337"/>
      <c r="P7" s="598">
        <v>144</v>
      </c>
      <c r="Q7" s="598">
        <f aca="true" t="shared" si="2" ref="Q7:Q26">P7/2</f>
        <v>72</v>
      </c>
    </row>
    <row r="8" spans="2:17" ht="19.5" customHeight="1">
      <c r="B8" s="425">
        <v>3</v>
      </c>
      <c r="C8" s="337" t="str">
        <f t="shared" si="0"/>
        <v>AB2</v>
      </c>
      <c r="D8" s="337">
        <v>3</v>
      </c>
      <c r="E8" s="337" t="s">
        <v>373</v>
      </c>
      <c r="F8" s="337" t="s">
        <v>670</v>
      </c>
      <c r="G8" s="337" t="s">
        <v>374</v>
      </c>
      <c r="H8" s="337">
        <v>93</v>
      </c>
      <c r="I8" s="337" t="s">
        <v>671</v>
      </c>
      <c r="J8" s="337" t="s">
        <v>375</v>
      </c>
      <c r="K8" s="337">
        <v>57</v>
      </c>
      <c r="L8" s="424">
        <f t="shared" si="1"/>
        <v>150</v>
      </c>
      <c r="M8" s="339" t="s">
        <v>77</v>
      </c>
      <c r="N8" s="422"/>
      <c r="O8" s="337"/>
      <c r="P8" s="598">
        <v>108</v>
      </c>
      <c r="Q8" s="598">
        <f t="shared" si="2"/>
        <v>54</v>
      </c>
    </row>
    <row r="9" spans="2:17" ht="19.5" customHeight="1">
      <c r="B9" s="423">
        <v>4</v>
      </c>
      <c r="C9" s="337" t="str">
        <f t="shared" si="0"/>
        <v>AA2</v>
      </c>
      <c r="D9" s="337">
        <v>4</v>
      </c>
      <c r="E9" s="337" t="s">
        <v>672</v>
      </c>
      <c r="F9" s="337" t="s">
        <v>673</v>
      </c>
      <c r="G9" s="337" t="s">
        <v>376</v>
      </c>
      <c r="H9" s="337">
        <v>66</v>
      </c>
      <c r="I9" s="337" t="s">
        <v>674</v>
      </c>
      <c r="J9" s="337" t="s">
        <v>377</v>
      </c>
      <c r="K9" s="337">
        <v>66</v>
      </c>
      <c r="L9" s="424">
        <f t="shared" si="1"/>
        <v>132</v>
      </c>
      <c r="M9" s="341" t="s">
        <v>83</v>
      </c>
      <c r="N9" s="422" t="s">
        <v>378</v>
      </c>
      <c r="O9" s="337"/>
      <c r="P9" s="598">
        <v>120</v>
      </c>
      <c r="Q9" s="598">
        <f t="shared" si="2"/>
        <v>60</v>
      </c>
    </row>
    <row r="10" spans="2:17" ht="19.5" customHeight="1">
      <c r="B10" s="423">
        <v>5</v>
      </c>
      <c r="C10" s="337" t="str">
        <f t="shared" si="0"/>
        <v>AA3</v>
      </c>
      <c r="D10" s="337">
        <v>5</v>
      </c>
      <c r="E10" s="337" t="s">
        <v>379</v>
      </c>
      <c r="F10" s="337" t="s">
        <v>675</v>
      </c>
      <c r="G10" s="337" t="s">
        <v>380</v>
      </c>
      <c r="H10" s="337">
        <v>78</v>
      </c>
      <c r="I10" s="337" t="s">
        <v>381</v>
      </c>
      <c r="J10" s="337" t="s">
        <v>382</v>
      </c>
      <c r="K10" s="337">
        <v>54</v>
      </c>
      <c r="L10" s="424">
        <f t="shared" si="1"/>
        <v>132</v>
      </c>
      <c r="M10" s="341" t="s">
        <v>89</v>
      </c>
      <c r="N10" s="422" t="s">
        <v>378</v>
      </c>
      <c r="O10" s="337"/>
      <c r="P10" s="598">
        <v>0</v>
      </c>
      <c r="Q10" s="598">
        <f t="shared" si="2"/>
        <v>0</v>
      </c>
    </row>
    <row r="11" spans="2:17" ht="19.5" customHeight="1">
      <c r="B11" s="423">
        <v>6</v>
      </c>
      <c r="C11" s="337" t="str">
        <f t="shared" si="0"/>
        <v>AB3</v>
      </c>
      <c r="D11" s="337">
        <v>6</v>
      </c>
      <c r="E11" s="337" t="s">
        <v>383</v>
      </c>
      <c r="F11" s="337" t="s">
        <v>676</v>
      </c>
      <c r="G11" s="337" t="s">
        <v>384</v>
      </c>
      <c r="H11" s="337">
        <v>63</v>
      </c>
      <c r="I11" s="337" t="s">
        <v>677</v>
      </c>
      <c r="J11" s="337" t="s">
        <v>385</v>
      </c>
      <c r="K11" s="337">
        <v>63</v>
      </c>
      <c r="L11" s="424">
        <f t="shared" si="1"/>
        <v>126</v>
      </c>
      <c r="M11" s="339" t="s">
        <v>95</v>
      </c>
      <c r="N11" s="422"/>
      <c r="O11" s="337"/>
      <c r="P11" s="598">
        <v>84</v>
      </c>
      <c r="Q11" s="598">
        <f t="shared" si="2"/>
        <v>42</v>
      </c>
    </row>
    <row r="12" spans="2:17" ht="19.5" customHeight="1">
      <c r="B12" s="423">
        <v>7</v>
      </c>
      <c r="C12" s="337" t="str">
        <f t="shared" si="0"/>
        <v>AB4</v>
      </c>
      <c r="D12" s="337">
        <v>6</v>
      </c>
      <c r="E12" s="337" t="s">
        <v>386</v>
      </c>
      <c r="F12" s="337" t="s">
        <v>678</v>
      </c>
      <c r="G12" s="337" t="s">
        <v>387</v>
      </c>
      <c r="H12" s="337">
        <v>63</v>
      </c>
      <c r="I12" s="337" t="s">
        <v>679</v>
      </c>
      <c r="J12" s="337" t="s">
        <v>388</v>
      </c>
      <c r="K12" s="337">
        <v>57</v>
      </c>
      <c r="L12" s="424">
        <f t="shared" si="1"/>
        <v>120</v>
      </c>
      <c r="M12" s="341" t="s">
        <v>101</v>
      </c>
      <c r="N12" s="422" t="s">
        <v>389</v>
      </c>
      <c r="O12" s="337"/>
      <c r="P12" s="598">
        <v>96</v>
      </c>
      <c r="Q12" s="598">
        <f t="shared" si="2"/>
        <v>48</v>
      </c>
    </row>
    <row r="13" spans="2:17" ht="19.5" customHeight="1">
      <c r="B13" s="426">
        <v>8</v>
      </c>
      <c r="C13" s="427" t="str">
        <f t="shared" si="0"/>
        <v>AA4</v>
      </c>
      <c r="D13" s="427">
        <v>8</v>
      </c>
      <c r="E13" s="330" t="s">
        <v>680</v>
      </c>
      <c r="F13" s="427" t="s">
        <v>681</v>
      </c>
      <c r="G13" s="427" t="s">
        <v>390</v>
      </c>
      <c r="H13" s="427">
        <v>60</v>
      </c>
      <c r="I13" s="427" t="s">
        <v>682</v>
      </c>
      <c r="J13" s="427" t="s">
        <v>391</v>
      </c>
      <c r="K13" s="427">
        <v>60</v>
      </c>
      <c r="L13" s="428">
        <f t="shared" si="1"/>
        <v>120</v>
      </c>
      <c r="M13" s="429" t="s">
        <v>107</v>
      </c>
      <c r="N13" s="422" t="s">
        <v>389</v>
      </c>
      <c r="O13" s="337"/>
      <c r="P13" s="598">
        <v>96</v>
      </c>
      <c r="Q13" s="598">
        <f t="shared" si="2"/>
        <v>48</v>
      </c>
    </row>
    <row r="14" spans="2:17" ht="19.5" customHeight="1">
      <c r="B14" s="430">
        <v>9</v>
      </c>
      <c r="C14" s="333" t="str">
        <f t="shared" si="0"/>
        <v>B1</v>
      </c>
      <c r="D14" s="333">
        <v>9</v>
      </c>
      <c r="E14" s="333" t="s">
        <v>392</v>
      </c>
      <c r="F14" s="333" t="s">
        <v>683</v>
      </c>
      <c r="G14" s="333" t="s">
        <v>393</v>
      </c>
      <c r="H14" s="333">
        <v>60</v>
      </c>
      <c r="I14" s="333" t="s">
        <v>684</v>
      </c>
      <c r="J14" s="333" t="s">
        <v>394</v>
      </c>
      <c r="K14" s="333">
        <v>54</v>
      </c>
      <c r="L14" s="335">
        <f t="shared" si="1"/>
        <v>114</v>
      </c>
      <c r="M14" s="431" t="s">
        <v>115</v>
      </c>
      <c r="N14" s="422" t="s">
        <v>395</v>
      </c>
      <c r="O14" s="337"/>
      <c r="P14" s="598">
        <v>0</v>
      </c>
      <c r="Q14" s="598">
        <f t="shared" si="2"/>
        <v>0</v>
      </c>
    </row>
    <row r="15" spans="2:17" ht="19.5" customHeight="1">
      <c r="B15" s="430">
        <v>10</v>
      </c>
      <c r="C15" s="337" t="str">
        <f t="shared" si="0"/>
        <v>A1</v>
      </c>
      <c r="D15" s="337">
        <v>10</v>
      </c>
      <c r="E15" s="337" t="s">
        <v>396</v>
      </c>
      <c r="F15" s="337" t="s">
        <v>685</v>
      </c>
      <c r="G15" s="337" t="s">
        <v>397</v>
      </c>
      <c r="H15" s="337">
        <v>36</v>
      </c>
      <c r="I15" s="337" t="s">
        <v>686</v>
      </c>
      <c r="J15" s="337" t="s">
        <v>398</v>
      </c>
      <c r="K15" s="337">
        <v>78</v>
      </c>
      <c r="L15" s="338">
        <f t="shared" si="1"/>
        <v>114</v>
      </c>
      <c r="M15" s="341" t="s">
        <v>111</v>
      </c>
      <c r="N15" s="422" t="s">
        <v>395</v>
      </c>
      <c r="O15" s="337"/>
      <c r="P15" s="598">
        <v>120</v>
      </c>
      <c r="Q15" s="598">
        <f t="shared" si="2"/>
        <v>60</v>
      </c>
    </row>
    <row r="16" spans="2:17" ht="19.5" customHeight="1">
      <c r="B16" s="430">
        <v>11</v>
      </c>
      <c r="C16" s="337" t="str">
        <f t="shared" si="0"/>
        <v>C1</v>
      </c>
      <c r="D16" s="337">
        <v>11</v>
      </c>
      <c r="E16" s="337" t="s">
        <v>399</v>
      </c>
      <c r="F16" s="337" t="s">
        <v>687</v>
      </c>
      <c r="G16" s="337" t="s">
        <v>400</v>
      </c>
      <c r="H16" s="337">
        <v>63</v>
      </c>
      <c r="I16" s="337" t="s">
        <v>688</v>
      </c>
      <c r="J16" s="337" t="s">
        <v>401</v>
      </c>
      <c r="K16" s="337">
        <v>36</v>
      </c>
      <c r="L16" s="338">
        <f t="shared" si="1"/>
        <v>99</v>
      </c>
      <c r="M16" s="339" t="s">
        <v>119</v>
      </c>
      <c r="N16" s="422"/>
      <c r="O16" s="337"/>
      <c r="P16" s="598">
        <v>84</v>
      </c>
      <c r="Q16" s="598">
        <f t="shared" si="2"/>
        <v>42</v>
      </c>
    </row>
    <row r="17" spans="2:17" ht="19.5" customHeight="1">
      <c r="B17" s="432">
        <v>12</v>
      </c>
      <c r="C17" s="337" t="str">
        <f t="shared" si="0"/>
        <v>D1</v>
      </c>
      <c r="D17" s="337">
        <v>12</v>
      </c>
      <c r="E17" s="337" t="s">
        <v>402</v>
      </c>
      <c r="F17" s="337" t="s">
        <v>689</v>
      </c>
      <c r="G17" s="337" t="s">
        <v>403</v>
      </c>
      <c r="H17" s="337">
        <v>42</v>
      </c>
      <c r="I17" s="337" t="s">
        <v>690</v>
      </c>
      <c r="J17" s="337" t="s">
        <v>404</v>
      </c>
      <c r="K17" s="337">
        <v>51</v>
      </c>
      <c r="L17" s="338">
        <f t="shared" si="1"/>
        <v>93</v>
      </c>
      <c r="M17" s="339" t="s">
        <v>123</v>
      </c>
      <c r="N17" s="422"/>
      <c r="O17" s="337"/>
      <c r="P17" s="598">
        <v>54</v>
      </c>
      <c r="Q17" s="598">
        <f t="shared" si="2"/>
        <v>27</v>
      </c>
    </row>
    <row r="18" spans="2:17" ht="19.5" customHeight="1">
      <c r="B18" s="430">
        <v>13</v>
      </c>
      <c r="C18" s="337" t="str">
        <f t="shared" si="0"/>
        <v>D2</v>
      </c>
      <c r="D18" s="337">
        <v>13</v>
      </c>
      <c r="E18" s="337" t="s">
        <v>691</v>
      </c>
      <c r="F18" s="337" t="s">
        <v>692</v>
      </c>
      <c r="G18" s="337" t="s">
        <v>405</v>
      </c>
      <c r="H18" s="337">
        <v>42</v>
      </c>
      <c r="I18" s="337" t="s">
        <v>693</v>
      </c>
      <c r="J18" s="337" t="s">
        <v>406</v>
      </c>
      <c r="K18" s="337">
        <v>42</v>
      </c>
      <c r="L18" s="338">
        <f t="shared" si="1"/>
        <v>84</v>
      </c>
      <c r="M18" s="339" t="s">
        <v>195</v>
      </c>
      <c r="N18" s="422"/>
      <c r="O18" s="337"/>
      <c r="P18" s="598">
        <v>96</v>
      </c>
      <c r="Q18" s="598">
        <f t="shared" si="2"/>
        <v>48</v>
      </c>
    </row>
    <row r="19" spans="2:17" ht="19.5" customHeight="1">
      <c r="B19" s="430">
        <v>14</v>
      </c>
      <c r="C19" s="337" t="str">
        <f t="shared" si="0"/>
        <v>C2</v>
      </c>
      <c r="D19" s="337">
        <v>13</v>
      </c>
      <c r="E19" s="337" t="s">
        <v>694</v>
      </c>
      <c r="F19" s="337" t="s">
        <v>695</v>
      </c>
      <c r="G19" s="337" t="s">
        <v>407</v>
      </c>
      <c r="H19" s="337">
        <v>37.5</v>
      </c>
      <c r="I19" s="337" t="s">
        <v>696</v>
      </c>
      <c r="J19" s="337" t="s">
        <v>408</v>
      </c>
      <c r="K19" s="337">
        <v>37.5</v>
      </c>
      <c r="L19" s="338">
        <f t="shared" si="1"/>
        <v>75</v>
      </c>
      <c r="M19" s="339" t="s">
        <v>194</v>
      </c>
      <c r="N19" s="422"/>
      <c r="O19" s="337"/>
      <c r="P19" s="598">
        <v>0</v>
      </c>
      <c r="Q19" s="598">
        <f t="shared" si="2"/>
        <v>0</v>
      </c>
    </row>
    <row r="20" spans="2:17" ht="19.5" customHeight="1">
      <c r="B20" s="432">
        <v>15</v>
      </c>
      <c r="C20" s="337" t="str">
        <f t="shared" si="0"/>
        <v>B2</v>
      </c>
      <c r="D20" s="337">
        <v>15</v>
      </c>
      <c r="E20" s="337" t="s">
        <v>409</v>
      </c>
      <c r="F20" s="337" t="s">
        <v>697</v>
      </c>
      <c r="G20" s="337" t="s">
        <v>410</v>
      </c>
      <c r="H20" s="337">
        <v>33</v>
      </c>
      <c r="I20" s="337" t="s">
        <v>698</v>
      </c>
      <c r="J20" s="337" t="s">
        <v>411</v>
      </c>
      <c r="K20" s="337">
        <v>33</v>
      </c>
      <c r="L20" s="338">
        <f t="shared" si="1"/>
        <v>66</v>
      </c>
      <c r="M20" s="339" t="s">
        <v>157</v>
      </c>
      <c r="N20" s="422"/>
      <c r="O20" s="337"/>
      <c r="P20" s="598">
        <v>54</v>
      </c>
      <c r="Q20" s="598">
        <f t="shared" si="2"/>
        <v>27</v>
      </c>
    </row>
    <row r="21" spans="2:17" ht="19.5" customHeight="1">
      <c r="B21" s="430">
        <v>16</v>
      </c>
      <c r="C21" s="337" t="str">
        <f t="shared" si="0"/>
        <v>A2</v>
      </c>
      <c r="D21" s="337">
        <v>16</v>
      </c>
      <c r="E21" s="337" t="s">
        <v>699</v>
      </c>
      <c r="F21" s="337" t="s">
        <v>700</v>
      </c>
      <c r="G21" s="337" t="s">
        <v>412</v>
      </c>
      <c r="H21" s="337">
        <v>24</v>
      </c>
      <c r="I21" s="337" t="s">
        <v>701</v>
      </c>
      <c r="J21" s="337" t="s">
        <v>413</v>
      </c>
      <c r="K21" s="337">
        <v>24</v>
      </c>
      <c r="L21" s="338">
        <f t="shared" si="1"/>
        <v>48</v>
      </c>
      <c r="M21" s="339" t="s">
        <v>160</v>
      </c>
      <c r="N21" s="422"/>
      <c r="O21" s="337"/>
      <c r="P21" s="598">
        <v>48</v>
      </c>
      <c r="Q21" s="598">
        <f t="shared" si="2"/>
        <v>24</v>
      </c>
    </row>
    <row r="22" spans="2:17" ht="19.5" customHeight="1">
      <c r="B22" s="430">
        <v>17</v>
      </c>
      <c r="C22" s="337" t="str">
        <f t="shared" si="0"/>
        <v>A3</v>
      </c>
      <c r="D22" s="337">
        <v>17</v>
      </c>
      <c r="E22" s="337" t="s">
        <v>414</v>
      </c>
      <c r="F22" s="337" t="s">
        <v>702</v>
      </c>
      <c r="G22" s="337" t="s">
        <v>415</v>
      </c>
      <c r="H22" s="337">
        <v>33</v>
      </c>
      <c r="I22" s="337" t="s">
        <v>703</v>
      </c>
      <c r="J22" s="337" t="s">
        <v>416</v>
      </c>
      <c r="K22" s="337">
        <v>0</v>
      </c>
      <c r="L22" s="338">
        <f t="shared" si="1"/>
        <v>33</v>
      </c>
      <c r="M22" s="339" t="s">
        <v>196</v>
      </c>
      <c r="N22" s="422"/>
      <c r="O22" s="337"/>
      <c r="P22" s="598">
        <v>54</v>
      </c>
      <c r="Q22" s="598">
        <f t="shared" si="2"/>
        <v>27</v>
      </c>
    </row>
    <row r="23" spans="2:17" ht="19.5" customHeight="1">
      <c r="B23" s="432">
        <v>18</v>
      </c>
      <c r="C23" s="337" t="str">
        <f t="shared" si="0"/>
        <v>B3</v>
      </c>
      <c r="D23" s="337">
        <v>18</v>
      </c>
      <c r="E23" s="337" t="s">
        <v>417</v>
      </c>
      <c r="F23" s="337" t="s">
        <v>704</v>
      </c>
      <c r="G23" s="337" t="s">
        <v>418</v>
      </c>
      <c r="H23" s="337">
        <v>13.5</v>
      </c>
      <c r="I23" s="337" t="s">
        <v>705</v>
      </c>
      <c r="J23" s="337" t="s">
        <v>419</v>
      </c>
      <c r="K23" s="337">
        <v>0</v>
      </c>
      <c r="L23" s="338">
        <f t="shared" si="1"/>
        <v>13.5</v>
      </c>
      <c r="M23" s="339" t="s">
        <v>197</v>
      </c>
      <c r="N23" s="422"/>
      <c r="O23" s="337"/>
      <c r="P23" s="598">
        <v>108</v>
      </c>
      <c r="Q23" s="598">
        <f t="shared" si="2"/>
        <v>54</v>
      </c>
    </row>
    <row r="24" spans="2:17" ht="19.5" customHeight="1">
      <c r="B24" s="430">
        <v>19</v>
      </c>
      <c r="C24" s="337" t="str">
        <f t="shared" si="0"/>
        <v>C3</v>
      </c>
      <c r="D24" s="337">
        <v>19</v>
      </c>
      <c r="E24" s="337" t="s">
        <v>420</v>
      </c>
      <c r="F24" s="337" t="s">
        <v>706</v>
      </c>
      <c r="G24" s="337" t="s">
        <v>421</v>
      </c>
      <c r="H24" s="337">
        <v>10.5</v>
      </c>
      <c r="I24" s="337" t="s">
        <v>707</v>
      </c>
      <c r="J24" s="337" t="s">
        <v>422</v>
      </c>
      <c r="K24" s="337">
        <v>0</v>
      </c>
      <c r="L24" s="338">
        <f t="shared" si="1"/>
        <v>10.5</v>
      </c>
      <c r="M24" s="339" t="s">
        <v>168</v>
      </c>
      <c r="N24" s="422"/>
      <c r="O24" s="337"/>
      <c r="P24" s="598">
        <v>54</v>
      </c>
      <c r="Q24" s="598">
        <f t="shared" si="2"/>
        <v>27</v>
      </c>
    </row>
    <row r="25" spans="2:17" ht="19.5" customHeight="1">
      <c r="B25" s="430">
        <v>20</v>
      </c>
      <c r="C25" s="337" t="str">
        <f t="shared" si="0"/>
        <v>D3</v>
      </c>
      <c r="D25" s="337">
        <v>19</v>
      </c>
      <c r="E25" s="337" t="s">
        <v>423</v>
      </c>
      <c r="F25" s="337" t="s">
        <v>708</v>
      </c>
      <c r="G25" s="337" t="s">
        <v>424</v>
      </c>
      <c r="H25" s="337">
        <v>0</v>
      </c>
      <c r="I25" s="337" t="s">
        <v>709</v>
      </c>
      <c r="J25" s="458" t="s">
        <v>142</v>
      </c>
      <c r="K25" s="337">
        <v>0</v>
      </c>
      <c r="L25" s="338">
        <f t="shared" si="1"/>
        <v>0</v>
      </c>
      <c r="M25" s="341" t="s">
        <v>171</v>
      </c>
      <c r="N25" s="422" t="s">
        <v>425</v>
      </c>
      <c r="O25" s="337"/>
      <c r="P25" s="598">
        <v>48</v>
      </c>
      <c r="Q25" s="598">
        <f t="shared" si="2"/>
        <v>24</v>
      </c>
    </row>
    <row r="26" spans="1:17" ht="19.5" customHeight="1">
      <c r="A26" s="433"/>
      <c r="B26" s="434">
        <v>21</v>
      </c>
      <c r="C26" s="337" t="str">
        <f t="shared" si="0"/>
        <v>D4</v>
      </c>
      <c r="D26" s="337">
        <v>21</v>
      </c>
      <c r="E26" s="337" t="s">
        <v>710</v>
      </c>
      <c r="F26" s="337" t="s">
        <v>711</v>
      </c>
      <c r="G26" s="458" t="s">
        <v>142</v>
      </c>
      <c r="H26" s="337">
        <v>0</v>
      </c>
      <c r="I26" s="337" t="s">
        <v>712</v>
      </c>
      <c r="J26" s="458" t="s">
        <v>142</v>
      </c>
      <c r="K26" s="337">
        <v>0</v>
      </c>
      <c r="L26" s="338">
        <f t="shared" si="1"/>
        <v>0</v>
      </c>
      <c r="M26" s="429" t="s">
        <v>207</v>
      </c>
      <c r="N26" s="422" t="s">
        <v>425</v>
      </c>
      <c r="O26" s="337"/>
      <c r="P26" s="598">
        <v>36</v>
      </c>
      <c r="Q26" s="598">
        <f t="shared" si="2"/>
        <v>18</v>
      </c>
    </row>
    <row r="27" spans="2:15" ht="19.5" customHeight="1" hidden="1">
      <c r="B27" s="432">
        <v>22</v>
      </c>
      <c r="C27" s="337">
        <f t="shared" si="0"/>
        <v>0</v>
      </c>
      <c r="D27" s="337">
        <v>22</v>
      </c>
      <c r="E27" s="337"/>
      <c r="F27" s="337"/>
      <c r="G27" s="337"/>
      <c r="H27" s="435"/>
      <c r="I27" s="337"/>
      <c r="J27" s="337"/>
      <c r="K27" s="337"/>
      <c r="L27" s="338">
        <f t="shared" si="1"/>
        <v>0</v>
      </c>
      <c r="M27" s="336"/>
      <c r="N27" s="422"/>
      <c r="O27" s="337"/>
    </row>
    <row r="28" spans="2:15" ht="19.5" customHeight="1" hidden="1">
      <c r="B28" s="432">
        <v>23</v>
      </c>
      <c r="C28" s="337" t="str">
        <f t="shared" si="0"/>
        <v>AA1</v>
      </c>
      <c r="D28" s="337">
        <v>22</v>
      </c>
      <c r="E28" s="337" t="s">
        <v>65</v>
      </c>
      <c r="F28" s="337"/>
      <c r="G28" s="337"/>
      <c r="H28" s="435"/>
      <c r="I28" s="337"/>
      <c r="J28" s="337"/>
      <c r="K28" s="337"/>
      <c r="L28" s="338">
        <f t="shared" si="1"/>
        <v>0</v>
      </c>
      <c r="M28" s="339" t="s">
        <v>65</v>
      </c>
      <c r="N28" s="422"/>
      <c r="O28" s="337"/>
    </row>
    <row r="29" spans="2:15" ht="19.5" customHeight="1" hidden="1">
      <c r="B29" s="432">
        <v>24</v>
      </c>
      <c r="C29" s="337" t="str">
        <f t="shared" si="0"/>
        <v>AA2</v>
      </c>
      <c r="D29" s="337">
        <v>22</v>
      </c>
      <c r="E29" s="337" t="s">
        <v>83</v>
      </c>
      <c r="F29" s="337"/>
      <c r="G29" s="337"/>
      <c r="H29" s="435"/>
      <c r="I29" s="337"/>
      <c r="J29" s="337"/>
      <c r="K29" s="337"/>
      <c r="L29" s="338">
        <f t="shared" si="1"/>
        <v>0</v>
      </c>
      <c r="M29" s="339" t="s">
        <v>83</v>
      </c>
      <c r="N29" s="422"/>
      <c r="O29" s="337"/>
    </row>
    <row r="30" spans="2:15" ht="19.5" customHeight="1" hidden="1">
      <c r="B30" s="432">
        <v>25</v>
      </c>
      <c r="C30" s="337" t="str">
        <f t="shared" si="0"/>
        <v>AA3</v>
      </c>
      <c r="D30" s="337">
        <v>23</v>
      </c>
      <c r="E30" s="337" t="s">
        <v>89</v>
      </c>
      <c r="F30" s="337"/>
      <c r="G30" s="337"/>
      <c r="H30" s="435"/>
      <c r="I30" s="337"/>
      <c r="J30" s="337"/>
      <c r="K30" s="337"/>
      <c r="L30" s="338">
        <f aca="true" t="shared" si="3" ref="L30:L65">H30+K30</f>
        <v>0</v>
      </c>
      <c r="M30" s="339" t="s">
        <v>89</v>
      </c>
      <c r="N30" s="422"/>
      <c r="O30" s="337"/>
    </row>
    <row r="31" spans="2:15" ht="19.5" customHeight="1" hidden="1">
      <c r="B31" s="432">
        <v>26</v>
      </c>
      <c r="C31" s="337" t="str">
        <f t="shared" si="0"/>
        <v>AA4</v>
      </c>
      <c r="D31" s="337">
        <v>26</v>
      </c>
      <c r="E31" s="337" t="s">
        <v>107</v>
      </c>
      <c r="F31" s="337"/>
      <c r="G31" s="337"/>
      <c r="H31" s="435"/>
      <c r="I31" s="337"/>
      <c r="J31" s="337"/>
      <c r="K31" s="337"/>
      <c r="L31" s="338">
        <f t="shared" si="3"/>
        <v>0</v>
      </c>
      <c r="M31" s="339" t="s">
        <v>107</v>
      </c>
      <c r="N31" s="422"/>
      <c r="O31" s="337"/>
    </row>
    <row r="32" spans="2:15" ht="19.5" customHeight="1" hidden="1">
      <c r="B32" s="432">
        <v>27</v>
      </c>
      <c r="C32" s="337" t="str">
        <f t="shared" si="0"/>
        <v>AB1</v>
      </c>
      <c r="D32" s="337">
        <v>26</v>
      </c>
      <c r="E32" s="337" t="s">
        <v>71</v>
      </c>
      <c r="F32" s="337"/>
      <c r="G32" s="337"/>
      <c r="H32" s="435"/>
      <c r="I32" s="337"/>
      <c r="J32" s="337"/>
      <c r="K32" s="337"/>
      <c r="L32" s="338">
        <f t="shared" si="3"/>
        <v>0</v>
      </c>
      <c r="M32" s="339" t="s">
        <v>71</v>
      </c>
      <c r="N32" s="422"/>
      <c r="O32" s="337"/>
    </row>
    <row r="33" spans="2:15" ht="19.5" customHeight="1" hidden="1">
      <c r="B33" s="432">
        <v>28</v>
      </c>
      <c r="C33" s="337" t="str">
        <f t="shared" si="0"/>
        <v>AB2</v>
      </c>
      <c r="D33" s="337">
        <v>26</v>
      </c>
      <c r="E33" s="337" t="s">
        <v>77</v>
      </c>
      <c r="F33" s="337"/>
      <c r="G33" s="337"/>
      <c r="H33" s="435"/>
      <c r="I33" s="337"/>
      <c r="J33" s="337"/>
      <c r="K33" s="337"/>
      <c r="L33" s="338">
        <f t="shared" si="3"/>
        <v>0</v>
      </c>
      <c r="M33" s="339" t="s">
        <v>77</v>
      </c>
      <c r="N33" s="422"/>
      <c r="O33" s="337"/>
    </row>
    <row r="34" spans="2:15" ht="19.5" customHeight="1" hidden="1">
      <c r="B34" s="432">
        <v>29</v>
      </c>
      <c r="C34" s="337" t="str">
        <f t="shared" si="0"/>
        <v>AB3</v>
      </c>
      <c r="D34" s="337">
        <v>29</v>
      </c>
      <c r="E34" s="337" t="s">
        <v>95</v>
      </c>
      <c r="F34" s="337"/>
      <c r="G34" s="337"/>
      <c r="H34" s="435"/>
      <c r="I34" s="337"/>
      <c r="J34" s="337"/>
      <c r="K34" s="337"/>
      <c r="L34" s="338">
        <f t="shared" si="3"/>
        <v>0</v>
      </c>
      <c r="M34" s="339" t="s">
        <v>95</v>
      </c>
      <c r="N34" s="422"/>
      <c r="O34" s="337"/>
    </row>
    <row r="35" spans="2:15" ht="19.5" customHeight="1" hidden="1">
      <c r="B35" s="432">
        <v>30</v>
      </c>
      <c r="C35" s="337" t="str">
        <f t="shared" si="0"/>
        <v>AB4</v>
      </c>
      <c r="D35" s="337">
        <v>29</v>
      </c>
      <c r="E35" s="337" t="s">
        <v>101</v>
      </c>
      <c r="F35" s="337"/>
      <c r="G35" s="337"/>
      <c r="H35" s="435"/>
      <c r="I35" s="337"/>
      <c r="J35" s="337"/>
      <c r="K35" s="337"/>
      <c r="L35" s="338">
        <f t="shared" si="3"/>
        <v>0</v>
      </c>
      <c r="M35" s="339" t="s">
        <v>101</v>
      </c>
      <c r="N35" s="422"/>
      <c r="O35" s="337"/>
    </row>
    <row r="36" spans="2:15" ht="19.5" customHeight="1" hidden="1">
      <c r="B36" s="432">
        <v>31</v>
      </c>
      <c r="C36" s="337" t="str">
        <f t="shared" si="0"/>
        <v>A1</v>
      </c>
      <c r="D36" s="337">
        <v>29</v>
      </c>
      <c r="E36" s="337" t="s">
        <v>111</v>
      </c>
      <c r="F36" s="337"/>
      <c r="G36" s="337"/>
      <c r="H36" s="435"/>
      <c r="I36" s="337"/>
      <c r="J36" s="337"/>
      <c r="K36" s="337"/>
      <c r="L36" s="338">
        <f t="shared" si="3"/>
        <v>0</v>
      </c>
      <c r="M36" s="339" t="s">
        <v>111</v>
      </c>
      <c r="N36" s="422"/>
      <c r="O36" s="337"/>
    </row>
    <row r="37" spans="2:15" ht="19.5" customHeight="1" hidden="1">
      <c r="B37" s="432">
        <v>32</v>
      </c>
      <c r="C37" s="337" t="str">
        <f t="shared" si="0"/>
        <v>B1</v>
      </c>
      <c r="D37" s="337">
        <v>32</v>
      </c>
      <c r="E37" s="337" t="s">
        <v>115</v>
      </c>
      <c r="F37" s="337"/>
      <c r="G37" s="337"/>
      <c r="H37" s="435"/>
      <c r="I37" s="337"/>
      <c r="J37" s="337"/>
      <c r="K37" s="337"/>
      <c r="L37" s="338">
        <f t="shared" si="3"/>
        <v>0</v>
      </c>
      <c r="M37" s="339" t="s">
        <v>115</v>
      </c>
      <c r="N37" s="422"/>
      <c r="O37" s="337"/>
    </row>
    <row r="38" spans="2:15" ht="19.5" customHeight="1" hidden="1">
      <c r="B38" s="432">
        <v>33</v>
      </c>
      <c r="C38" s="337" t="str">
        <f t="shared" si="0"/>
        <v>C1</v>
      </c>
      <c r="D38" s="337">
        <v>33</v>
      </c>
      <c r="E38" s="337" t="s">
        <v>119</v>
      </c>
      <c r="F38" s="337"/>
      <c r="G38" s="337"/>
      <c r="H38" s="435"/>
      <c r="I38" s="337"/>
      <c r="J38" s="337"/>
      <c r="K38" s="337"/>
      <c r="L38" s="338">
        <f t="shared" si="3"/>
        <v>0</v>
      </c>
      <c r="M38" s="339" t="s">
        <v>119</v>
      </c>
      <c r="N38" s="422"/>
      <c r="O38" s="337"/>
    </row>
    <row r="39" spans="2:15" ht="19.5" customHeight="1" hidden="1">
      <c r="B39" s="432">
        <v>34</v>
      </c>
      <c r="C39" s="337" t="str">
        <f t="shared" si="0"/>
        <v>D1</v>
      </c>
      <c r="D39" s="337">
        <v>33</v>
      </c>
      <c r="E39" s="337" t="s">
        <v>123</v>
      </c>
      <c r="F39" s="337"/>
      <c r="G39" s="337"/>
      <c r="H39" s="435"/>
      <c r="I39" s="337"/>
      <c r="J39" s="337"/>
      <c r="K39" s="337"/>
      <c r="L39" s="338">
        <f t="shared" si="3"/>
        <v>0</v>
      </c>
      <c r="M39" s="339" t="s">
        <v>123</v>
      </c>
      <c r="N39" s="422"/>
      <c r="O39" s="337"/>
    </row>
    <row r="40" spans="2:15" ht="19.5" customHeight="1" hidden="1">
      <c r="B40" s="432">
        <v>35</v>
      </c>
      <c r="C40" s="337" t="str">
        <f t="shared" si="0"/>
        <v>A2</v>
      </c>
      <c r="D40" s="337">
        <v>33</v>
      </c>
      <c r="E40" s="337" t="s">
        <v>160</v>
      </c>
      <c r="F40" s="337"/>
      <c r="G40" s="337"/>
      <c r="H40" s="435"/>
      <c r="I40" s="337"/>
      <c r="J40" s="337"/>
      <c r="K40" s="337"/>
      <c r="L40" s="338">
        <f t="shared" si="3"/>
        <v>0</v>
      </c>
      <c r="M40" s="339" t="s">
        <v>160</v>
      </c>
      <c r="N40" s="422"/>
      <c r="O40" s="337"/>
    </row>
    <row r="41" spans="2:15" ht="19.5" customHeight="1" hidden="1">
      <c r="B41" s="432">
        <v>36</v>
      </c>
      <c r="C41" s="337" t="str">
        <f t="shared" si="0"/>
        <v>B2</v>
      </c>
      <c r="D41" s="337">
        <v>33</v>
      </c>
      <c r="E41" s="337" t="s">
        <v>157</v>
      </c>
      <c r="F41" s="337"/>
      <c r="G41" s="337"/>
      <c r="H41" s="435"/>
      <c r="I41" s="337"/>
      <c r="J41" s="337"/>
      <c r="K41" s="337"/>
      <c r="L41" s="338">
        <f t="shared" si="3"/>
        <v>0</v>
      </c>
      <c r="M41" s="339" t="s">
        <v>157</v>
      </c>
      <c r="N41" s="422"/>
      <c r="O41" s="337"/>
    </row>
    <row r="42" spans="2:15" ht="19.5" customHeight="1" hidden="1">
      <c r="B42" s="432">
        <v>37</v>
      </c>
      <c r="C42" s="337" t="str">
        <f t="shared" si="0"/>
        <v>C2</v>
      </c>
      <c r="D42" s="337">
        <v>33</v>
      </c>
      <c r="E42" s="337" t="s">
        <v>194</v>
      </c>
      <c r="F42" s="337"/>
      <c r="G42" s="337"/>
      <c r="H42" s="435"/>
      <c r="I42" s="337"/>
      <c r="J42" s="337"/>
      <c r="K42" s="337"/>
      <c r="L42" s="338">
        <f t="shared" si="3"/>
        <v>0</v>
      </c>
      <c r="M42" s="339" t="s">
        <v>194</v>
      </c>
      <c r="N42" s="422"/>
      <c r="O42" s="337"/>
    </row>
    <row r="43" spans="2:15" ht="19.5" customHeight="1" hidden="1">
      <c r="B43" s="432">
        <v>38</v>
      </c>
      <c r="C43" s="337" t="str">
        <f aca="true" t="shared" si="4" ref="C43:C65">M43</f>
        <v>D2</v>
      </c>
      <c r="D43" s="337">
        <v>34</v>
      </c>
      <c r="E43" s="337" t="s">
        <v>195</v>
      </c>
      <c r="F43" s="337"/>
      <c r="G43" s="337"/>
      <c r="H43" s="435"/>
      <c r="I43" s="337"/>
      <c r="J43" s="337"/>
      <c r="K43" s="337"/>
      <c r="L43" s="338">
        <f t="shared" si="3"/>
        <v>0</v>
      </c>
      <c r="M43" s="339" t="s">
        <v>195</v>
      </c>
      <c r="N43" s="422"/>
      <c r="O43" s="337"/>
    </row>
    <row r="44" spans="2:15" ht="19.5" customHeight="1" hidden="1">
      <c r="B44" s="432">
        <v>39</v>
      </c>
      <c r="C44" s="337" t="str">
        <f t="shared" si="4"/>
        <v>A3</v>
      </c>
      <c r="D44" s="337">
        <v>35</v>
      </c>
      <c r="E44" s="337" t="s">
        <v>196</v>
      </c>
      <c r="F44" s="337"/>
      <c r="G44" s="337"/>
      <c r="H44" s="435"/>
      <c r="I44" s="337"/>
      <c r="J44" s="337"/>
      <c r="K44" s="337"/>
      <c r="L44" s="338">
        <f t="shared" si="3"/>
        <v>0</v>
      </c>
      <c r="M44" s="339" t="s">
        <v>196</v>
      </c>
      <c r="N44" s="422"/>
      <c r="O44" s="337"/>
    </row>
    <row r="45" spans="2:15" ht="19.5" customHeight="1" hidden="1">
      <c r="B45" s="432">
        <v>40</v>
      </c>
      <c r="C45" s="337" t="str">
        <f t="shared" si="4"/>
        <v>B3</v>
      </c>
      <c r="D45" s="337">
        <v>36</v>
      </c>
      <c r="E45" s="337" t="s">
        <v>197</v>
      </c>
      <c r="F45" s="337"/>
      <c r="G45" s="337"/>
      <c r="H45" s="435"/>
      <c r="I45" s="337"/>
      <c r="J45" s="337"/>
      <c r="K45" s="337"/>
      <c r="L45" s="338">
        <f t="shared" si="3"/>
        <v>0</v>
      </c>
      <c r="M45" s="339" t="s">
        <v>197</v>
      </c>
      <c r="N45" s="422"/>
      <c r="O45" s="337"/>
    </row>
    <row r="46" spans="2:15" ht="19.5" customHeight="1" hidden="1">
      <c r="B46" s="432">
        <v>41</v>
      </c>
      <c r="C46" s="337" t="str">
        <f t="shared" si="4"/>
        <v>C3</v>
      </c>
      <c r="D46" s="337">
        <v>37</v>
      </c>
      <c r="E46" s="337" t="s">
        <v>168</v>
      </c>
      <c r="F46" s="337"/>
      <c r="G46" s="337"/>
      <c r="H46" s="435"/>
      <c r="I46" s="337"/>
      <c r="J46" s="337"/>
      <c r="K46" s="337"/>
      <c r="L46" s="338">
        <f t="shared" si="3"/>
        <v>0</v>
      </c>
      <c r="M46" s="339" t="s">
        <v>168</v>
      </c>
      <c r="N46" s="422"/>
      <c r="O46" s="337"/>
    </row>
    <row r="47" spans="2:15" ht="19.5" customHeight="1" hidden="1">
      <c r="B47" s="432">
        <v>42</v>
      </c>
      <c r="C47" s="337" t="str">
        <f t="shared" si="4"/>
        <v>D3</v>
      </c>
      <c r="D47" s="337">
        <v>38</v>
      </c>
      <c r="E47" s="337" t="s">
        <v>171</v>
      </c>
      <c r="F47" s="337"/>
      <c r="G47" s="337"/>
      <c r="H47" s="435"/>
      <c r="I47" s="337"/>
      <c r="J47" s="337"/>
      <c r="K47" s="337"/>
      <c r="L47" s="338">
        <f t="shared" si="3"/>
        <v>0</v>
      </c>
      <c r="M47" s="339" t="s">
        <v>171</v>
      </c>
      <c r="N47" s="422"/>
      <c r="O47" s="337"/>
    </row>
    <row r="48" spans="2:15" ht="19.5" customHeight="1" hidden="1">
      <c r="B48" s="432">
        <v>43</v>
      </c>
      <c r="C48" s="337" t="str">
        <f t="shared" si="4"/>
        <v>A4</v>
      </c>
      <c r="D48" s="337">
        <v>39</v>
      </c>
      <c r="E48" s="337" t="s">
        <v>193</v>
      </c>
      <c r="F48" s="337"/>
      <c r="G48" s="337"/>
      <c r="H48" s="435"/>
      <c r="I48" s="337"/>
      <c r="J48" s="337"/>
      <c r="K48" s="337"/>
      <c r="L48" s="338">
        <f t="shared" si="3"/>
        <v>0</v>
      </c>
      <c r="M48" s="339" t="s">
        <v>193</v>
      </c>
      <c r="N48" s="422"/>
      <c r="O48" s="337"/>
    </row>
    <row r="49" spans="2:15" ht="19.5" customHeight="1" hidden="1">
      <c r="B49" s="432">
        <v>44</v>
      </c>
      <c r="C49" s="337" t="str">
        <f t="shared" si="4"/>
        <v>B4</v>
      </c>
      <c r="D49" s="337">
        <v>40</v>
      </c>
      <c r="E49" s="337" t="s">
        <v>203</v>
      </c>
      <c r="F49" s="337"/>
      <c r="G49" s="337"/>
      <c r="H49" s="435"/>
      <c r="I49" s="337"/>
      <c r="J49" s="337"/>
      <c r="K49" s="337"/>
      <c r="L49" s="338">
        <f t="shared" si="3"/>
        <v>0</v>
      </c>
      <c r="M49" s="339" t="s">
        <v>203</v>
      </c>
      <c r="N49" s="422"/>
      <c r="O49" s="337"/>
    </row>
    <row r="50" spans="2:15" ht="19.5" customHeight="1" hidden="1">
      <c r="B50" s="432">
        <v>45</v>
      </c>
      <c r="C50" s="337" t="str">
        <f t="shared" si="4"/>
        <v>C4</v>
      </c>
      <c r="D50" s="337">
        <v>41</v>
      </c>
      <c r="E50" s="337" t="s">
        <v>205</v>
      </c>
      <c r="F50" s="337"/>
      <c r="G50" s="337"/>
      <c r="H50" s="435"/>
      <c r="I50" s="337"/>
      <c r="J50" s="337"/>
      <c r="K50" s="337"/>
      <c r="L50" s="338">
        <f t="shared" si="3"/>
        <v>0</v>
      </c>
      <c r="M50" s="339" t="s">
        <v>205</v>
      </c>
      <c r="N50" s="422"/>
      <c r="O50" s="337"/>
    </row>
    <row r="51" spans="2:15" ht="19.5" customHeight="1" hidden="1">
      <c r="B51" s="432">
        <v>46</v>
      </c>
      <c r="C51" s="337" t="str">
        <f t="shared" si="4"/>
        <v>D4</v>
      </c>
      <c r="D51" s="337">
        <v>42</v>
      </c>
      <c r="E51" s="337" t="s">
        <v>207</v>
      </c>
      <c r="F51" s="337"/>
      <c r="G51" s="337"/>
      <c r="H51" s="435"/>
      <c r="I51" s="337"/>
      <c r="J51" s="337"/>
      <c r="K51" s="337"/>
      <c r="L51" s="338">
        <f t="shared" si="3"/>
        <v>0</v>
      </c>
      <c r="M51" s="339" t="s">
        <v>207</v>
      </c>
      <c r="N51" s="422"/>
      <c r="O51" s="337"/>
    </row>
    <row r="52" spans="2:15" ht="19.5" customHeight="1" hidden="1">
      <c r="B52" s="432">
        <v>47</v>
      </c>
      <c r="C52" s="337">
        <f t="shared" si="4"/>
        <v>0</v>
      </c>
      <c r="D52" s="337">
        <v>43</v>
      </c>
      <c r="E52" s="337"/>
      <c r="F52" s="337"/>
      <c r="G52" s="337"/>
      <c r="H52" s="435"/>
      <c r="I52" s="337"/>
      <c r="J52" s="337"/>
      <c r="K52" s="337"/>
      <c r="L52" s="338">
        <f t="shared" si="3"/>
        <v>0</v>
      </c>
      <c r="M52" s="339"/>
      <c r="N52" s="422"/>
      <c r="O52" s="337"/>
    </row>
    <row r="53" spans="2:15" ht="19.5" customHeight="1" hidden="1">
      <c r="B53" s="432">
        <v>48</v>
      </c>
      <c r="C53" s="337">
        <f t="shared" si="4"/>
        <v>0</v>
      </c>
      <c r="D53" s="337">
        <v>44</v>
      </c>
      <c r="E53" s="337"/>
      <c r="F53" s="337"/>
      <c r="G53" s="337"/>
      <c r="H53" s="435"/>
      <c r="I53" s="337"/>
      <c r="J53" s="337"/>
      <c r="K53" s="337"/>
      <c r="L53" s="338">
        <f t="shared" si="3"/>
        <v>0</v>
      </c>
      <c r="M53" s="339"/>
      <c r="N53" s="422"/>
      <c r="O53" s="337"/>
    </row>
    <row r="54" spans="2:15" ht="19.5" customHeight="1" hidden="1">
      <c r="B54" s="432">
        <v>49</v>
      </c>
      <c r="C54" s="337">
        <f t="shared" si="4"/>
        <v>0</v>
      </c>
      <c r="D54" s="337">
        <v>45</v>
      </c>
      <c r="E54" s="337"/>
      <c r="F54" s="337"/>
      <c r="G54" s="337"/>
      <c r="H54" s="435"/>
      <c r="I54" s="337"/>
      <c r="J54" s="337"/>
      <c r="K54" s="337"/>
      <c r="L54" s="338">
        <f t="shared" si="3"/>
        <v>0</v>
      </c>
      <c r="M54" s="339"/>
      <c r="N54" s="422"/>
      <c r="O54" s="337"/>
    </row>
    <row r="55" spans="2:15" ht="19.5" customHeight="1" hidden="1">
      <c r="B55" s="432">
        <v>50</v>
      </c>
      <c r="C55" s="337">
        <f t="shared" si="4"/>
        <v>0</v>
      </c>
      <c r="D55" s="337">
        <v>46</v>
      </c>
      <c r="E55" s="337"/>
      <c r="F55" s="337"/>
      <c r="G55" s="337"/>
      <c r="H55" s="435"/>
      <c r="I55" s="337"/>
      <c r="J55" s="337"/>
      <c r="K55" s="337"/>
      <c r="L55" s="338">
        <f t="shared" si="3"/>
        <v>0</v>
      </c>
      <c r="M55" s="339"/>
      <c r="N55" s="422"/>
      <c r="O55" s="337"/>
    </row>
    <row r="56" spans="2:15" ht="19.5" customHeight="1" hidden="1">
      <c r="B56" s="432">
        <v>51</v>
      </c>
      <c r="C56" s="337">
        <f t="shared" si="4"/>
        <v>0</v>
      </c>
      <c r="D56" s="337">
        <v>47</v>
      </c>
      <c r="E56" s="337"/>
      <c r="F56" s="337"/>
      <c r="G56" s="337"/>
      <c r="H56" s="435"/>
      <c r="I56" s="337"/>
      <c r="J56" s="337"/>
      <c r="K56" s="337"/>
      <c r="L56" s="338">
        <f t="shared" si="3"/>
        <v>0</v>
      </c>
      <c r="M56" s="339"/>
      <c r="N56" s="422"/>
      <c r="O56" s="337"/>
    </row>
    <row r="57" spans="2:15" ht="19.5" customHeight="1" hidden="1">
      <c r="B57" s="432">
        <v>52</v>
      </c>
      <c r="C57" s="337">
        <f t="shared" si="4"/>
        <v>0</v>
      </c>
      <c r="D57" s="337">
        <v>48</v>
      </c>
      <c r="E57" s="337"/>
      <c r="F57" s="337"/>
      <c r="G57" s="337"/>
      <c r="H57" s="435"/>
      <c r="I57" s="337"/>
      <c r="J57" s="337"/>
      <c r="K57" s="337"/>
      <c r="L57" s="338">
        <f t="shared" si="3"/>
        <v>0</v>
      </c>
      <c r="M57" s="339"/>
      <c r="N57" s="422"/>
      <c r="O57" s="337"/>
    </row>
    <row r="58" spans="2:15" ht="19.5" customHeight="1" hidden="1">
      <c r="B58" s="432">
        <v>53</v>
      </c>
      <c r="C58" s="337">
        <f t="shared" si="4"/>
        <v>0</v>
      </c>
      <c r="D58" s="337">
        <v>49</v>
      </c>
      <c r="E58" s="337"/>
      <c r="F58" s="337"/>
      <c r="G58" s="337"/>
      <c r="H58" s="435"/>
      <c r="I58" s="337"/>
      <c r="J58" s="337"/>
      <c r="K58" s="337"/>
      <c r="L58" s="338">
        <f t="shared" si="3"/>
        <v>0</v>
      </c>
      <c r="M58" s="339"/>
      <c r="N58" s="422"/>
      <c r="O58" s="337"/>
    </row>
    <row r="59" spans="2:15" ht="19.5" customHeight="1" hidden="1">
      <c r="B59" s="432">
        <v>54</v>
      </c>
      <c r="C59" s="337">
        <f t="shared" si="4"/>
        <v>0</v>
      </c>
      <c r="D59" s="337">
        <v>50</v>
      </c>
      <c r="E59" s="337"/>
      <c r="F59" s="337"/>
      <c r="G59" s="337"/>
      <c r="H59" s="435"/>
      <c r="I59" s="337"/>
      <c r="J59" s="337"/>
      <c r="K59" s="337"/>
      <c r="L59" s="338">
        <f t="shared" si="3"/>
        <v>0</v>
      </c>
      <c r="M59" s="339"/>
      <c r="N59" s="422"/>
      <c r="O59" s="337"/>
    </row>
    <row r="60" spans="2:15" ht="19.5" customHeight="1" hidden="1">
      <c r="B60" s="432">
        <v>55</v>
      </c>
      <c r="C60" s="337">
        <f t="shared" si="4"/>
        <v>0</v>
      </c>
      <c r="D60" s="337">
        <v>51</v>
      </c>
      <c r="E60" s="337"/>
      <c r="F60" s="337"/>
      <c r="G60" s="337"/>
      <c r="H60" s="435"/>
      <c r="I60" s="337"/>
      <c r="J60" s="337"/>
      <c r="K60" s="337"/>
      <c r="L60" s="338">
        <f t="shared" si="3"/>
        <v>0</v>
      </c>
      <c r="M60" s="339"/>
      <c r="N60" s="422"/>
      <c r="O60" s="337"/>
    </row>
    <row r="61" spans="2:15" ht="19.5" customHeight="1" hidden="1">
      <c r="B61" s="432">
        <v>56</v>
      </c>
      <c r="C61" s="337">
        <f t="shared" si="4"/>
        <v>0</v>
      </c>
      <c r="D61" s="337">
        <v>52</v>
      </c>
      <c r="E61" s="337"/>
      <c r="F61" s="337"/>
      <c r="G61" s="337"/>
      <c r="H61" s="435"/>
      <c r="I61" s="337"/>
      <c r="J61" s="337"/>
      <c r="K61" s="337"/>
      <c r="L61" s="338">
        <f t="shared" si="3"/>
        <v>0</v>
      </c>
      <c r="M61" s="339"/>
      <c r="N61" s="422"/>
      <c r="O61" s="337"/>
    </row>
    <row r="62" spans="2:15" ht="19.5" customHeight="1" hidden="1">
      <c r="B62" s="432">
        <v>57</v>
      </c>
      <c r="C62" s="337">
        <f t="shared" si="4"/>
        <v>0</v>
      </c>
      <c r="D62" s="337">
        <v>53</v>
      </c>
      <c r="E62" s="337"/>
      <c r="F62" s="337"/>
      <c r="G62" s="337"/>
      <c r="H62" s="435"/>
      <c r="I62" s="337"/>
      <c r="J62" s="337"/>
      <c r="K62" s="337"/>
      <c r="L62" s="338">
        <f t="shared" si="3"/>
        <v>0</v>
      </c>
      <c r="M62" s="339"/>
      <c r="N62" s="422"/>
      <c r="O62" s="337"/>
    </row>
    <row r="63" spans="2:15" ht="19.5" customHeight="1" hidden="1">
      <c r="B63" s="432">
        <v>58</v>
      </c>
      <c r="C63" s="337">
        <f t="shared" si="4"/>
        <v>0</v>
      </c>
      <c r="D63" s="337">
        <v>54</v>
      </c>
      <c r="E63" s="337"/>
      <c r="F63" s="337"/>
      <c r="G63" s="337"/>
      <c r="H63" s="435"/>
      <c r="I63" s="337"/>
      <c r="J63" s="337"/>
      <c r="K63" s="337"/>
      <c r="L63" s="338">
        <f t="shared" si="3"/>
        <v>0</v>
      </c>
      <c r="M63" s="339"/>
      <c r="N63" s="422"/>
      <c r="O63" s="337"/>
    </row>
    <row r="64" spans="2:15" ht="19.5" customHeight="1" hidden="1">
      <c r="B64" s="432">
        <v>59</v>
      </c>
      <c r="C64" s="337">
        <f t="shared" si="4"/>
        <v>0</v>
      </c>
      <c r="D64" s="337">
        <v>55</v>
      </c>
      <c r="E64" s="337"/>
      <c r="F64" s="337"/>
      <c r="G64" s="337"/>
      <c r="H64" s="435"/>
      <c r="I64" s="337"/>
      <c r="J64" s="337"/>
      <c r="K64" s="337"/>
      <c r="L64" s="338">
        <f t="shared" si="3"/>
        <v>0</v>
      </c>
      <c r="M64" s="339"/>
      <c r="N64" s="422"/>
      <c r="O64" s="337"/>
    </row>
    <row r="65" spans="2:15" ht="19.5" customHeight="1" hidden="1">
      <c r="B65" s="432">
        <v>60</v>
      </c>
      <c r="C65" s="337">
        <f t="shared" si="4"/>
        <v>0</v>
      </c>
      <c r="D65" s="337">
        <v>56</v>
      </c>
      <c r="E65" s="337"/>
      <c r="F65" s="337"/>
      <c r="G65" s="337"/>
      <c r="H65" s="435"/>
      <c r="I65" s="337"/>
      <c r="J65" s="337"/>
      <c r="K65" s="337"/>
      <c r="L65" s="338">
        <f t="shared" si="3"/>
        <v>0</v>
      </c>
      <c r="M65" s="339"/>
      <c r="N65" s="422"/>
      <c r="O65" s="337"/>
    </row>
    <row r="67" spans="4:13" ht="21" hidden="1">
      <c r="D67" s="403"/>
      <c r="E67" s="436"/>
      <c r="F67" s="401"/>
      <c r="G67" s="401"/>
      <c r="H67" s="401"/>
      <c r="L67" s="403" t="s">
        <v>713</v>
      </c>
      <c r="M67" s="403"/>
    </row>
    <row r="68" spans="5:13" ht="21" hidden="1">
      <c r="E68" s="437" t="s">
        <v>426</v>
      </c>
      <c r="F68" s="438" t="str">
        <f>E32</f>
        <v>AB1</v>
      </c>
      <c r="H68" s="401"/>
      <c r="I68" s="438" t="str">
        <f>E42</f>
        <v>C2</v>
      </c>
      <c r="L68" s="438"/>
      <c r="M68" s="403" t="s">
        <v>714</v>
      </c>
    </row>
    <row r="69" spans="5:13" ht="21" hidden="1">
      <c r="E69" s="437" t="s">
        <v>427</v>
      </c>
      <c r="F69" s="438" t="str">
        <f>E34</f>
        <v>AB3</v>
      </c>
      <c r="I69" s="438" t="str">
        <f>E41</f>
        <v>B2</v>
      </c>
      <c r="L69" s="438"/>
      <c r="M69" s="403" t="s">
        <v>715</v>
      </c>
    </row>
    <row r="70" spans="5:13" ht="21" hidden="1">
      <c r="E70" s="437" t="s">
        <v>428</v>
      </c>
      <c r="F70" s="438" t="str">
        <f>E35</f>
        <v>AB4</v>
      </c>
      <c r="I70" s="438" t="str">
        <f>E39</f>
        <v>D1</v>
      </c>
      <c r="L70" s="438"/>
      <c r="M70" s="403" t="s">
        <v>716</v>
      </c>
    </row>
    <row r="71" spans="5:13" ht="21" hidden="1">
      <c r="E71" s="437" t="s">
        <v>429</v>
      </c>
      <c r="F71" s="438" t="str">
        <f>E36</f>
        <v>A1</v>
      </c>
      <c r="I71" s="438" t="str">
        <f>E40</f>
        <v>A2</v>
      </c>
      <c r="L71" s="438"/>
      <c r="M71" s="403" t="s">
        <v>717</v>
      </c>
    </row>
    <row r="72" spans="5:13" ht="21" hidden="1">
      <c r="E72" s="437" t="s">
        <v>430</v>
      </c>
      <c r="F72" s="438" t="str">
        <f>E37</f>
        <v>B1</v>
      </c>
      <c r="I72" s="438" t="str">
        <f>E38</f>
        <v>C1</v>
      </c>
      <c r="L72" s="438"/>
      <c r="M72" s="403" t="s">
        <v>718</v>
      </c>
    </row>
    <row r="73" ht="21" hidden="1"/>
  </sheetData>
  <sheetProtection selectLockedCells="1" selectUnlockedCells="1"/>
  <conditionalFormatting sqref="M16:M24">
    <cfRule type="expression" priority="1" dxfId="1" stopIfTrue="1">
      <formula>AND(COUNTIF($M$16:$M$24,M16)&gt;1,NOT(ISBLANK(M16)))</formula>
    </cfRule>
  </conditionalFormatting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="70" zoomScaleNormal="70" zoomScalePageLayoutView="0" workbookViewId="0" topLeftCell="A1">
      <selection activeCell="F43" sqref="F43"/>
    </sheetView>
  </sheetViews>
  <sheetFormatPr defaultColWidth="9.00390625" defaultRowHeight="16.5"/>
  <cols>
    <col min="1" max="1" width="0.37109375" style="64" customWidth="1"/>
    <col min="2" max="2" width="19.625" style="64" customWidth="1"/>
    <col min="3" max="3" width="20.125" style="64" customWidth="1"/>
    <col min="4" max="4" width="22.00390625" style="64" customWidth="1"/>
    <col min="5" max="5" width="19.875" style="64" customWidth="1"/>
    <col min="6" max="6" width="20.875" style="64" customWidth="1"/>
    <col min="7" max="7" width="20.00390625" style="64" customWidth="1"/>
    <col min="8" max="11" width="12.50390625" style="64" customWidth="1"/>
    <col min="12" max="16384" width="9.00390625" style="64" customWidth="1"/>
  </cols>
  <sheetData>
    <row r="1" spans="3:5" ht="16.5">
      <c r="C1" s="65" t="s">
        <v>431</v>
      </c>
      <c r="D1" s="66"/>
      <c r="E1" s="66"/>
    </row>
    <row r="2" spans="3:5" ht="16.5">
      <c r="C2" s="65"/>
      <c r="D2" s="66"/>
      <c r="E2" s="66"/>
    </row>
    <row r="3" spans="3:5" ht="16.5">
      <c r="C3" s="65" t="s">
        <v>233</v>
      </c>
      <c r="D3" s="66"/>
      <c r="E3" s="66"/>
    </row>
    <row r="4" spans="3:5" ht="16.5">
      <c r="C4" s="65" t="s">
        <v>234</v>
      </c>
      <c r="D4" s="66"/>
      <c r="E4" s="66"/>
    </row>
    <row r="5" spans="3:5" ht="16.5">
      <c r="C5" s="65" t="s">
        <v>235</v>
      </c>
      <c r="D5" s="66"/>
      <c r="E5" s="66"/>
    </row>
    <row r="6" spans="3:5" ht="16.5" hidden="1">
      <c r="C6" s="65" t="s">
        <v>236</v>
      </c>
      <c r="D6" s="66"/>
      <c r="E6" s="66"/>
    </row>
    <row r="7" spans="3:5" ht="16.5">
      <c r="C7" s="67" t="s">
        <v>237</v>
      </c>
      <c r="D7" s="68" t="s">
        <v>238</v>
      </c>
      <c r="E7" s="69"/>
    </row>
    <row r="8" spans="3:5" ht="16.5">
      <c r="C8" s="70" t="s">
        <v>239</v>
      </c>
      <c r="D8" s="71" t="s">
        <v>240</v>
      </c>
      <c r="E8" s="69"/>
    </row>
    <row r="9" spans="3:5" ht="16.5">
      <c r="C9" s="67" t="s">
        <v>241</v>
      </c>
      <c r="D9" s="71" t="s">
        <v>242</v>
      </c>
      <c r="E9" s="69"/>
    </row>
    <row r="10" spans="3:5" ht="16.5">
      <c r="C10" s="67" t="s">
        <v>243</v>
      </c>
      <c r="D10" s="71" t="s">
        <v>244</v>
      </c>
      <c r="E10" s="69"/>
    </row>
    <row r="11" spans="3:5" ht="16.5">
      <c r="C11" s="70" t="s">
        <v>245</v>
      </c>
      <c r="D11" s="70" t="s">
        <v>246</v>
      </c>
      <c r="E11" s="69"/>
    </row>
    <row r="12" spans="3:5" ht="16.5" hidden="1">
      <c r="C12" s="65" t="s">
        <v>247</v>
      </c>
      <c r="D12" s="70" t="s">
        <v>245</v>
      </c>
      <c r="E12" s="69"/>
    </row>
    <row r="13" spans="3:5" ht="16.5" hidden="1">
      <c r="C13" s="65" t="s">
        <v>248</v>
      </c>
      <c r="D13" s="70" t="s">
        <v>249</v>
      </c>
      <c r="E13" s="69"/>
    </row>
    <row r="14" spans="3:5" ht="16.5" hidden="1">
      <c r="C14" s="65" t="s">
        <v>250</v>
      </c>
      <c r="D14" s="70" t="s">
        <v>251</v>
      </c>
      <c r="E14" s="69"/>
    </row>
    <row r="15" spans="3:5" ht="16.5" hidden="1">
      <c r="C15" s="65" t="s">
        <v>252</v>
      </c>
      <c r="D15" s="70" t="s">
        <v>253</v>
      </c>
      <c r="E15" s="69"/>
    </row>
    <row r="16" ht="16.5">
      <c r="C16" s="72" t="s">
        <v>254</v>
      </c>
    </row>
    <row r="17" ht="16.5">
      <c r="C17" s="72" t="s">
        <v>255</v>
      </c>
    </row>
    <row r="18" ht="16.5">
      <c r="C18" s="65"/>
    </row>
    <row r="19" ht="16.5">
      <c r="C19" s="65" t="s">
        <v>256</v>
      </c>
    </row>
    <row r="20" spans="3:6" ht="16.5">
      <c r="C20" s="65"/>
      <c r="D20" s="73"/>
      <c r="E20" s="73"/>
      <c r="F20" s="73"/>
    </row>
    <row r="21" spans="3:7" ht="16.5">
      <c r="C21" s="165"/>
      <c r="D21" s="74"/>
      <c r="E21" s="74"/>
      <c r="F21" s="74"/>
      <c r="G21" s="74"/>
    </row>
    <row r="22" spans="2:7" ht="16.5">
      <c r="B22" s="216" t="str">
        <f>'女甲賽程'!R5</f>
        <v>Hiphing</v>
      </c>
      <c r="C22" s="76" t="s">
        <v>65</v>
      </c>
      <c r="D22" s="74"/>
      <c r="E22" s="77"/>
      <c r="F22" s="74"/>
      <c r="G22" s="74"/>
    </row>
    <row r="23" spans="3:7" ht="16.5">
      <c r="C23" s="78" t="s">
        <v>432</v>
      </c>
      <c r="D23" s="79"/>
      <c r="E23" s="216" t="str">
        <f>B22</f>
        <v>Hiphing</v>
      </c>
      <c r="F23" s="74"/>
      <c r="G23" s="80"/>
    </row>
    <row r="24" spans="3:7" ht="16.5">
      <c r="C24" s="571" t="s">
        <v>788</v>
      </c>
      <c r="D24" s="505"/>
      <c r="E24" s="504"/>
      <c r="F24" s="74"/>
      <c r="G24" s="80"/>
    </row>
    <row r="25" spans="3:7" ht="16.5">
      <c r="C25" s="85"/>
      <c r="D25" s="74"/>
      <c r="E25" s="85"/>
      <c r="F25" s="74"/>
      <c r="G25" s="74"/>
    </row>
    <row r="26" spans="2:7" ht="16.5">
      <c r="B26" s="216" t="str">
        <f>'女甲賽程'!R14</f>
        <v>Acti-tape</v>
      </c>
      <c r="C26" s="81" t="s">
        <v>77</v>
      </c>
      <c r="D26" s="82"/>
      <c r="E26" s="83"/>
      <c r="F26" s="74"/>
      <c r="G26" s="82"/>
    </row>
    <row r="27" spans="3:7" ht="16.5">
      <c r="C27" s="77"/>
      <c r="D27" s="217"/>
      <c r="E27" s="85"/>
      <c r="F27" s="74"/>
      <c r="G27" s="74"/>
    </row>
    <row r="28" spans="3:7" ht="16.5">
      <c r="C28" s="218"/>
      <c r="D28" s="87"/>
      <c r="E28" s="487" t="s">
        <v>790</v>
      </c>
      <c r="F28" s="219" t="s">
        <v>433</v>
      </c>
      <c r="G28" s="575" t="str">
        <f>E33</f>
        <v>ST</v>
      </c>
    </row>
    <row r="29" spans="3:7" ht="16.5">
      <c r="C29" s="165"/>
      <c r="D29" s="74"/>
      <c r="E29" s="85" t="s">
        <v>791</v>
      </c>
      <c r="F29" s="89" t="s">
        <v>259</v>
      </c>
      <c r="G29" s="220"/>
    </row>
    <row r="30" spans="2:7" ht="16.5">
      <c r="B30" s="216" t="str">
        <f>'女甲賽程'!R6</f>
        <v>羚靖</v>
      </c>
      <c r="C30" s="76" t="s">
        <v>83</v>
      </c>
      <c r="D30" s="74"/>
      <c r="E30" s="85"/>
      <c r="F30" s="74"/>
      <c r="G30" s="221"/>
    </row>
    <row r="31" spans="3:7" ht="16.5">
      <c r="C31" s="78" t="s">
        <v>434</v>
      </c>
      <c r="E31" s="506"/>
      <c r="F31" s="74"/>
      <c r="G31" s="222"/>
    </row>
    <row r="32" spans="3:7" ht="16.5">
      <c r="C32" s="487" t="s">
        <v>789</v>
      </c>
      <c r="D32" s="86"/>
      <c r="E32" s="81"/>
      <c r="F32" s="74"/>
      <c r="G32" s="222"/>
    </row>
    <row r="33" spans="3:7" ht="16.5">
      <c r="C33" s="85"/>
      <c r="D33" s="74"/>
      <c r="E33" s="216" t="str">
        <f>B34</f>
        <v>ST</v>
      </c>
      <c r="F33" s="74"/>
      <c r="G33" s="220"/>
    </row>
    <row r="34" spans="2:7" ht="16.5">
      <c r="B34" s="216" t="str">
        <f>'女甲賽程'!R13</f>
        <v>ST</v>
      </c>
      <c r="C34" s="81" t="s">
        <v>71</v>
      </c>
      <c r="D34" s="74"/>
      <c r="E34" s="77"/>
      <c r="F34" s="80"/>
      <c r="G34" s="220"/>
    </row>
    <row r="35" spans="3:10" ht="16.5">
      <c r="C35" s="77"/>
      <c r="D35" s="73"/>
      <c r="E35" s="73"/>
      <c r="G35" s="223"/>
      <c r="H35" s="73"/>
      <c r="I35" s="73"/>
      <c r="J35" s="73"/>
    </row>
    <row r="36" spans="3:6" ht="16.5">
      <c r="C36" s="73"/>
      <c r="F36" s="224"/>
    </row>
    <row r="37" spans="5:6" ht="16.5">
      <c r="E37" s="75" t="str">
        <f>B26</f>
        <v>Acti-tape</v>
      </c>
      <c r="F37" s="225"/>
    </row>
    <row r="38" ht="16.5">
      <c r="F38" s="92"/>
    </row>
    <row r="39" spans="2:6" ht="16.5">
      <c r="B39" s="93" t="s">
        <v>261</v>
      </c>
      <c r="C39" s="94" t="s">
        <v>262</v>
      </c>
      <c r="E39" s="95"/>
      <c r="F39" s="78" t="s">
        <v>435</v>
      </c>
    </row>
    <row r="40" spans="2:7" ht="16.5">
      <c r="B40" s="93" t="s">
        <v>263</v>
      </c>
      <c r="C40" s="94" t="s">
        <v>264</v>
      </c>
      <c r="E40" s="95"/>
      <c r="F40" s="487" t="s">
        <v>268</v>
      </c>
      <c r="G40" s="575" t="str">
        <f>E45</f>
        <v>羚靖</v>
      </c>
    </row>
    <row r="41" spans="2:7" ht="16.5">
      <c r="B41" s="93" t="s">
        <v>266</v>
      </c>
      <c r="C41" s="94" t="s">
        <v>267</v>
      </c>
      <c r="E41" s="95"/>
      <c r="F41" s="571" t="s">
        <v>788</v>
      </c>
      <c r="G41" s="97"/>
    </row>
    <row r="42" spans="2:6" ht="16.5">
      <c r="B42" s="93" t="s">
        <v>269</v>
      </c>
      <c r="C42" s="94" t="s">
        <v>270</v>
      </c>
      <c r="E42" s="95"/>
      <c r="F42" s="487"/>
    </row>
    <row r="43" spans="5:6" ht="16.5">
      <c r="E43" s="95"/>
      <c r="F43" s="96"/>
    </row>
    <row r="44" spans="5:6" ht="16.5">
      <c r="E44" s="95"/>
      <c r="F44" s="96"/>
    </row>
    <row r="45" spans="5:6" ht="16.5">
      <c r="E45" s="75" t="str">
        <f>B30</f>
        <v>羚靖</v>
      </c>
      <c r="F45" s="98"/>
    </row>
    <row r="46" ht="16.5">
      <c r="F46" s="77"/>
    </row>
    <row r="50" ht="16.5">
      <c r="G50" s="73"/>
    </row>
  </sheetData>
  <sheetProtection selectLockedCells="1" selectUnlockedCells="1"/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75" zoomScaleNormal="75" zoomScalePageLayoutView="0" workbookViewId="0" topLeftCell="E1">
      <selection activeCell="W9" sqref="W9"/>
    </sheetView>
  </sheetViews>
  <sheetFormatPr defaultColWidth="9.00390625" defaultRowHeight="16.5"/>
  <cols>
    <col min="1" max="1" width="0" style="507" hidden="1" customWidth="1"/>
    <col min="2" max="2" width="9.50390625" style="507" customWidth="1"/>
    <col min="3" max="3" width="7.875" style="507" customWidth="1"/>
    <col min="4" max="4" width="10.125" style="507" customWidth="1"/>
    <col min="5" max="5" width="15.625" style="507" customWidth="1"/>
    <col min="6" max="6" width="5.125" style="507" customWidth="1"/>
    <col min="7" max="7" width="15.875" style="507" customWidth="1"/>
    <col min="8" max="8" width="20.00390625" style="507" customWidth="1"/>
    <col min="9" max="9" width="3.125" style="507" customWidth="1"/>
    <col min="10" max="10" width="18.375" style="507" customWidth="1"/>
    <col min="11" max="14" width="9.00390625" style="511" customWidth="1"/>
    <col min="15" max="15" width="17.125" style="507" customWidth="1"/>
    <col min="16" max="16" width="21.875" style="507" customWidth="1"/>
    <col min="17" max="17" width="9.00390625" style="507" customWidth="1"/>
    <col min="18" max="18" width="17.00390625" style="507" customWidth="1"/>
    <col min="19" max="16384" width="9.00390625" style="507" customWidth="1"/>
  </cols>
  <sheetData>
    <row r="1" spans="2:8" ht="25.5">
      <c r="B1" s="508" t="s">
        <v>436</v>
      </c>
      <c r="C1" s="509"/>
      <c r="D1" s="509"/>
      <c r="E1" s="510"/>
      <c r="G1" s="511"/>
      <c r="H1" s="512"/>
    </row>
    <row r="2" spans="2:8" ht="25.5">
      <c r="B2" s="512" t="s">
        <v>761</v>
      </c>
      <c r="C2" s="509"/>
      <c r="D2" s="509"/>
      <c r="E2" s="510"/>
      <c r="G2" s="511"/>
      <c r="H2" s="512"/>
    </row>
    <row r="3" spans="4:14" ht="19.5">
      <c r="D3" s="513"/>
      <c r="E3" s="511"/>
      <c r="F3" s="511"/>
      <c r="G3" s="514"/>
      <c r="H3" s="617" t="s">
        <v>273</v>
      </c>
      <c r="I3" s="617"/>
      <c r="J3" s="617"/>
      <c r="K3" s="511" t="s">
        <v>274</v>
      </c>
      <c r="L3" s="511" t="s">
        <v>275</v>
      </c>
      <c r="M3" s="511" t="s">
        <v>275</v>
      </c>
      <c r="N3" s="511" t="s">
        <v>274</v>
      </c>
    </row>
    <row r="4" spans="1:23" ht="16.5">
      <c r="A4" s="515" t="s">
        <v>276</v>
      </c>
      <c r="B4" s="466" t="s">
        <v>277</v>
      </c>
      <c r="C4" s="466" t="s">
        <v>278</v>
      </c>
      <c r="D4" s="516" t="s">
        <v>279</v>
      </c>
      <c r="E4" s="466"/>
      <c r="F4" s="466" t="s">
        <v>280</v>
      </c>
      <c r="G4" s="466"/>
      <c r="H4" s="517" t="s">
        <v>281</v>
      </c>
      <c r="I4" s="518"/>
      <c r="J4" s="517" t="s">
        <v>282</v>
      </c>
      <c r="K4" s="466"/>
      <c r="L4" s="466"/>
      <c r="M4" s="466"/>
      <c r="N4" s="466"/>
      <c r="Q4" s="519" t="s">
        <v>286</v>
      </c>
      <c r="R4" s="510" t="s">
        <v>46</v>
      </c>
      <c r="S4" s="510" t="s">
        <v>287</v>
      </c>
      <c r="T4" s="510" t="s">
        <v>288</v>
      </c>
      <c r="U4" s="510" t="s">
        <v>57</v>
      </c>
      <c r="W4" s="347" t="s">
        <v>653</v>
      </c>
    </row>
    <row r="5" spans="1:21" ht="16.5" customHeight="1">
      <c r="A5" s="520" t="s">
        <v>283</v>
      </c>
      <c r="B5" s="466" t="s">
        <v>284</v>
      </c>
      <c r="C5" s="521" t="s">
        <v>285</v>
      </c>
      <c r="D5" s="522" t="s">
        <v>277</v>
      </c>
      <c r="E5" s="521"/>
      <c r="F5" s="521" t="s">
        <v>273</v>
      </c>
      <c r="G5" s="521"/>
      <c r="H5" s="523" t="s">
        <v>47</v>
      </c>
      <c r="I5" s="520"/>
      <c r="J5" s="523" t="s">
        <v>47</v>
      </c>
      <c r="K5" s="466"/>
      <c r="L5" s="466"/>
      <c r="M5" s="466"/>
      <c r="N5" s="466"/>
      <c r="Q5" s="518">
        <v>1</v>
      </c>
      <c r="R5" s="524" t="s">
        <v>367</v>
      </c>
      <c r="S5" s="524">
        <v>2</v>
      </c>
      <c r="T5" s="524">
        <v>0</v>
      </c>
      <c r="U5" s="524">
        <f>S5*3+T5*0</f>
        <v>6</v>
      </c>
    </row>
    <row r="6" spans="1:21" ht="16.5">
      <c r="A6" s="525" t="e">
        <f>IF(#REF!&lt;&gt;#REF!,#REF!,"")</f>
        <v>#REF!</v>
      </c>
      <c r="B6" s="526">
        <v>1</v>
      </c>
      <c r="C6" s="527" t="s">
        <v>237</v>
      </c>
      <c r="D6" s="528">
        <v>1</v>
      </c>
      <c r="E6" s="529" t="s">
        <v>65</v>
      </c>
      <c r="F6" s="530" t="s">
        <v>289</v>
      </c>
      <c r="G6" s="531" t="s">
        <v>107</v>
      </c>
      <c r="H6" s="532" t="str">
        <f>VLOOKUP(E6,WD!$C$6:$K$59,3,FALSE)</f>
        <v>Hiphing</v>
      </c>
      <c r="I6" s="532" t="s">
        <v>289</v>
      </c>
      <c r="J6" s="532" t="str">
        <f>VLOOKUP(G6,WD!$C$6:$K$59,3,FALSE)</f>
        <v>KT-細鼻的人</v>
      </c>
      <c r="K6" s="466">
        <v>2</v>
      </c>
      <c r="L6" s="466">
        <f>21+21</f>
        <v>42</v>
      </c>
      <c r="M6" s="466">
        <f>9+9</f>
        <v>18</v>
      </c>
      <c r="N6" s="466">
        <v>0</v>
      </c>
      <c r="O6" s="510" t="s">
        <v>760</v>
      </c>
      <c r="Q6" s="518">
        <v>2</v>
      </c>
      <c r="R6" s="524" t="s">
        <v>765</v>
      </c>
      <c r="S6" s="524">
        <v>1</v>
      </c>
      <c r="T6" s="524">
        <v>1</v>
      </c>
      <c r="U6" s="524">
        <f>S6*3+T6*0</f>
        <v>3</v>
      </c>
    </row>
    <row r="7" spans="1:23" ht="16.5">
      <c r="A7" s="533" t="e">
        <f>IF(#REF!&lt;&gt;#REF!,#REF!,"")</f>
        <v>#REF!</v>
      </c>
      <c r="B7" s="521">
        <v>2</v>
      </c>
      <c r="C7" s="527" t="s">
        <v>237</v>
      </c>
      <c r="D7" s="528">
        <v>2</v>
      </c>
      <c r="E7" s="523" t="s">
        <v>83</v>
      </c>
      <c r="F7" s="530" t="s">
        <v>289</v>
      </c>
      <c r="G7" s="534" t="s">
        <v>89</v>
      </c>
      <c r="H7" s="532" t="str">
        <f>VLOOKUP(E7,WD!$C$6:$K$59,3,FALSE)</f>
        <v>羚靖</v>
      </c>
      <c r="I7" s="532" t="s">
        <v>289</v>
      </c>
      <c r="J7" s="532" t="str">
        <f>VLOOKUP(G7,WD!$C$6:$K$59,3,FALSE)</f>
        <v>20CM</v>
      </c>
      <c r="K7" s="466">
        <v>2</v>
      </c>
      <c r="L7" s="466">
        <v>42</v>
      </c>
      <c r="M7" s="466">
        <v>0</v>
      </c>
      <c r="N7" s="466">
        <v>0</v>
      </c>
      <c r="O7" s="510" t="s">
        <v>762</v>
      </c>
      <c r="Q7" s="518">
        <v>3</v>
      </c>
      <c r="R7" s="524" t="s">
        <v>766</v>
      </c>
      <c r="S7" s="524">
        <v>0</v>
      </c>
      <c r="T7" s="524">
        <v>2</v>
      </c>
      <c r="U7" s="524">
        <f>S7*3+T7*0</f>
        <v>0</v>
      </c>
      <c r="W7" s="599"/>
    </row>
    <row r="8" spans="1:21" ht="16.5">
      <c r="A8" s="533" t="e">
        <f>IF(#REF!&lt;&gt;#REF!,#REF!,"")</f>
        <v>#REF!</v>
      </c>
      <c r="B8" s="526">
        <v>3</v>
      </c>
      <c r="C8" s="527" t="s">
        <v>237</v>
      </c>
      <c r="D8" s="528">
        <v>3</v>
      </c>
      <c r="E8" s="523" t="s">
        <v>65</v>
      </c>
      <c r="F8" s="530" t="s">
        <v>289</v>
      </c>
      <c r="G8" s="534" t="s">
        <v>89</v>
      </c>
      <c r="H8" s="532" t="str">
        <f>VLOOKUP(E8,WD!$C$6:$K$59,3,FALSE)</f>
        <v>Hiphing</v>
      </c>
      <c r="I8" s="532" t="s">
        <v>289</v>
      </c>
      <c r="J8" s="532" t="str">
        <f>VLOOKUP(G8,WD!$C$6:$K$59,3,FALSE)</f>
        <v>20CM</v>
      </c>
      <c r="K8" s="466">
        <v>2</v>
      </c>
      <c r="L8" s="466">
        <v>42</v>
      </c>
      <c r="M8" s="466">
        <v>0</v>
      </c>
      <c r="N8" s="466">
        <v>0</v>
      </c>
      <c r="O8" s="510" t="s">
        <v>762</v>
      </c>
      <c r="Q8" s="557">
        <v>4</v>
      </c>
      <c r="R8" s="558" t="s">
        <v>379</v>
      </c>
      <c r="S8" s="558"/>
      <c r="T8" s="558"/>
      <c r="U8" s="558">
        <f>S8*3+T8*0</f>
        <v>0</v>
      </c>
    </row>
    <row r="9" spans="1:15" ht="16.5">
      <c r="A9" s="533" t="e">
        <f>IF(#REF!&lt;&gt;#REF!,#REF!,"")</f>
        <v>#REF!</v>
      </c>
      <c r="B9" s="521">
        <v>4</v>
      </c>
      <c r="C9" s="527" t="s">
        <v>237</v>
      </c>
      <c r="D9" s="528">
        <v>4</v>
      </c>
      <c r="E9" s="523" t="s">
        <v>83</v>
      </c>
      <c r="F9" s="530" t="s">
        <v>289</v>
      </c>
      <c r="G9" s="534" t="s">
        <v>107</v>
      </c>
      <c r="H9" s="532" t="str">
        <f>VLOOKUP(E9,WD!$C$6:$K$59,3,FALSE)</f>
        <v>羚靖</v>
      </c>
      <c r="I9" s="532" t="s">
        <v>289</v>
      </c>
      <c r="J9" s="532" t="str">
        <f>VLOOKUP(G9,WD!$C$6:$K$59,3,FALSE)</f>
        <v>KT-細鼻的人</v>
      </c>
      <c r="K9" s="466">
        <v>2</v>
      </c>
      <c r="L9" s="466">
        <f>23+21+15</f>
        <v>59</v>
      </c>
      <c r="M9" s="466">
        <f>25+18+11</f>
        <v>54</v>
      </c>
      <c r="N9" s="466">
        <v>1</v>
      </c>
      <c r="O9" s="510" t="s">
        <v>763</v>
      </c>
    </row>
    <row r="10" spans="1:15" ht="16.5">
      <c r="A10" s="533" t="e">
        <f>IF(#REF!&lt;&gt;#REF!,#REF!,"")</f>
        <v>#REF!</v>
      </c>
      <c r="B10" s="526">
        <v>5</v>
      </c>
      <c r="C10" s="527" t="s">
        <v>237</v>
      </c>
      <c r="D10" s="528">
        <v>5</v>
      </c>
      <c r="E10" s="523" t="s">
        <v>89</v>
      </c>
      <c r="F10" s="530" t="s">
        <v>289</v>
      </c>
      <c r="G10" s="534" t="s">
        <v>107</v>
      </c>
      <c r="H10" s="532" t="str">
        <f>VLOOKUP(E10,WD!$C$6:$K$59,3,FALSE)</f>
        <v>20CM</v>
      </c>
      <c r="I10" s="532" t="s">
        <v>289</v>
      </c>
      <c r="J10" s="532" t="str">
        <f>VLOOKUP(G10,WD!$C$6:$K$59,3,FALSE)</f>
        <v>KT-細鼻的人</v>
      </c>
      <c r="K10" s="466">
        <v>0</v>
      </c>
      <c r="L10" s="466">
        <v>0</v>
      </c>
      <c r="M10" s="466">
        <v>42</v>
      </c>
      <c r="N10" s="466">
        <v>2</v>
      </c>
      <c r="O10" s="510" t="s">
        <v>762</v>
      </c>
    </row>
    <row r="11" spans="1:15" ht="16.5">
      <c r="A11" s="533"/>
      <c r="B11" s="521">
        <v>6</v>
      </c>
      <c r="C11" s="535" t="s">
        <v>237</v>
      </c>
      <c r="D11" s="536">
        <v>6</v>
      </c>
      <c r="E11" s="537" t="s">
        <v>65</v>
      </c>
      <c r="F11" s="538" t="s">
        <v>289</v>
      </c>
      <c r="G11" s="539" t="s">
        <v>83</v>
      </c>
      <c r="H11" s="532" t="str">
        <f>VLOOKUP(E11,WD!$C$6:$K$59,3,FALSE)</f>
        <v>Hiphing</v>
      </c>
      <c r="I11" s="532" t="s">
        <v>289</v>
      </c>
      <c r="J11" s="532" t="str">
        <f>VLOOKUP(G11,WD!$C$6:$K$59,3,FALSE)</f>
        <v>羚靖</v>
      </c>
      <c r="K11" s="466">
        <v>2</v>
      </c>
      <c r="L11" s="466">
        <f>21+21</f>
        <v>42</v>
      </c>
      <c r="M11" s="466">
        <f>7+14</f>
        <v>21</v>
      </c>
      <c r="N11" s="466">
        <v>0</v>
      </c>
      <c r="O11" s="510" t="s">
        <v>764</v>
      </c>
    </row>
    <row r="12" spans="1:21" ht="16.5">
      <c r="A12" s="533"/>
      <c r="B12" s="526">
        <v>7</v>
      </c>
      <c r="C12" s="527" t="s">
        <v>238</v>
      </c>
      <c r="D12" s="540">
        <v>1</v>
      </c>
      <c r="E12" s="541" t="s">
        <v>71</v>
      </c>
      <c r="F12" s="542" t="s">
        <v>289</v>
      </c>
      <c r="G12" s="543" t="s">
        <v>101</v>
      </c>
      <c r="H12" s="532" t="str">
        <f>VLOOKUP(E12,WD!$C$6:$K$59,3,FALSE)</f>
        <v>ST</v>
      </c>
      <c r="I12" s="532" t="s">
        <v>289</v>
      </c>
      <c r="J12" s="532" t="str">
        <f>VLOOKUP(G12,WD!$C$6:$K$59,3,FALSE)</f>
        <v>NyiYht</v>
      </c>
      <c r="K12" s="466">
        <v>2</v>
      </c>
      <c r="L12" s="466">
        <f>21+21</f>
        <v>42</v>
      </c>
      <c r="M12" s="466">
        <f>17+7</f>
        <v>24</v>
      </c>
      <c r="N12" s="466">
        <v>0</v>
      </c>
      <c r="O12" s="510" t="s">
        <v>767</v>
      </c>
      <c r="Q12" s="519" t="s">
        <v>286</v>
      </c>
      <c r="R12" s="510" t="s">
        <v>46</v>
      </c>
      <c r="S12" s="510" t="s">
        <v>287</v>
      </c>
      <c r="T12" s="510" t="s">
        <v>288</v>
      </c>
      <c r="U12" s="510" t="s">
        <v>57</v>
      </c>
    </row>
    <row r="13" spans="1:23" ht="16.5">
      <c r="A13" s="533"/>
      <c r="B13" s="521">
        <v>8</v>
      </c>
      <c r="C13" s="544" t="s">
        <v>238</v>
      </c>
      <c r="D13" s="545">
        <v>2</v>
      </c>
      <c r="E13" s="523" t="s">
        <v>77</v>
      </c>
      <c r="F13" s="530" t="s">
        <v>289</v>
      </c>
      <c r="G13" s="534" t="s">
        <v>95</v>
      </c>
      <c r="H13" s="532" t="str">
        <f>VLOOKUP(E13,WD!$C$6:$K$59,3,FALSE)</f>
        <v>Acti-tape</v>
      </c>
      <c r="I13" s="532" t="s">
        <v>289</v>
      </c>
      <c r="J13" s="532" t="str">
        <f>VLOOKUP(G13,WD!$C$6:$K$59,3,FALSE)</f>
        <v>SURVIVOR</v>
      </c>
      <c r="K13" s="466">
        <v>2</v>
      </c>
      <c r="L13" s="466">
        <f>21+21</f>
        <v>42</v>
      </c>
      <c r="M13" s="466">
        <f>12+8</f>
        <v>20</v>
      </c>
      <c r="N13" s="466">
        <v>0</v>
      </c>
      <c r="O13" s="510" t="s">
        <v>768</v>
      </c>
      <c r="Q13" s="518">
        <v>1</v>
      </c>
      <c r="R13" s="524" t="s">
        <v>370</v>
      </c>
      <c r="S13" s="524">
        <v>3</v>
      </c>
      <c r="T13" s="524">
        <v>0</v>
      </c>
      <c r="U13" s="524">
        <f>S13*3+T13*0</f>
        <v>9</v>
      </c>
      <c r="W13" s="599"/>
    </row>
    <row r="14" spans="1:23" ht="16.5">
      <c r="A14" s="533"/>
      <c r="B14" s="526">
        <v>9</v>
      </c>
      <c r="C14" s="544" t="s">
        <v>238</v>
      </c>
      <c r="D14" s="545">
        <v>3</v>
      </c>
      <c r="E14" s="523" t="s">
        <v>71</v>
      </c>
      <c r="F14" s="530" t="s">
        <v>289</v>
      </c>
      <c r="G14" s="534" t="s">
        <v>95</v>
      </c>
      <c r="H14" s="532" t="str">
        <f>VLOOKUP(E14,WD!$C$6:$K$59,3,FALSE)</f>
        <v>ST</v>
      </c>
      <c r="I14" s="532" t="s">
        <v>289</v>
      </c>
      <c r="J14" s="532" t="str">
        <f>VLOOKUP(G14,WD!$C$6:$K$59,3,FALSE)</f>
        <v>SURVIVOR</v>
      </c>
      <c r="K14" s="466">
        <v>2</v>
      </c>
      <c r="L14" s="466">
        <f>21+21</f>
        <v>42</v>
      </c>
      <c r="M14" s="466">
        <f>7+8</f>
        <v>15</v>
      </c>
      <c r="N14" s="466">
        <v>0</v>
      </c>
      <c r="O14" s="510" t="s">
        <v>769</v>
      </c>
      <c r="Q14" s="518">
        <v>2</v>
      </c>
      <c r="R14" s="524" t="s">
        <v>373</v>
      </c>
      <c r="S14" s="524">
        <v>2</v>
      </c>
      <c r="T14" s="524">
        <v>1</v>
      </c>
      <c r="U14" s="524">
        <f>S14*3+T14*0</f>
        <v>6</v>
      </c>
      <c r="W14" s="599"/>
    </row>
    <row r="15" spans="1:23" ht="16.5">
      <c r="A15" s="533"/>
      <c r="B15" s="521">
        <v>10</v>
      </c>
      <c r="C15" s="544" t="s">
        <v>238</v>
      </c>
      <c r="D15" s="545">
        <v>4</v>
      </c>
      <c r="E15" s="523" t="s">
        <v>77</v>
      </c>
      <c r="F15" s="530" t="s">
        <v>289</v>
      </c>
      <c r="G15" s="534" t="s">
        <v>101</v>
      </c>
      <c r="H15" s="532" t="str">
        <f>VLOOKUP(E15,WD!$C$6:$K$59,3,FALSE)</f>
        <v>Acti-tape</v>
      </c>
      <c r="I15" s="532" t="s">
        <v>289</v>
      </c>
      <c r="J15" s="532" t="str">
        <f>VLOOKUP(G15,WD!$C$6:$K$59,3,FALSE)</f>
        <v>NyiYht</v>
      </c>
      <c r="K15" s="466">
        <v>2</v>
      </c>
      <c r="L15" s="466">
        <f>21+21</f>
        <v>42</v>
      </c>
      <c r="M15" s="466">
        <f>16+11</f>
        <v>27</v>
      </c>
      <c r="N15" s="466">
        <v>0</v>
      </c>
      <c r="O15" s="510" t="s">
        <v>770</v>
      </c>
      <c r="Q15" s="518">
        <v>3</v>
      </c>
      <c r="R15" s="524" t="s">
        <v>386</v>
      </c>
      <c r="S15" s="524">
        <v>1</v>
      </c>
      <c r="T15" s="524">
        <v>2</v>
      </c>
      <c r="U15" s="524">
        <f>S15*3+T15*0</f>
        <v>3</v>
      </c>
      <c r="W15" s="599"/>
    </row>
    <row r="16" spans="1:23" ht="16.5">
      <c r="A16" s="533"/>
      <c r="B16" s="526">
        <v>11</v>
      </c>
      <c r="C16" s="544" t="s">
        <v>238</v>
      </c>
      <c r="D16" s="545">
        <v>5</v>
      </c>
      <c r="E16" s="523" t="s">
        <v>95</v>
      </c>
      <c r="F16" s="530" t="s">
        <v>289</v>
      </c>
      <c r="G16" s="534" t="s">
        <v>101</v>
      </c>
      <c r="H16" s="532" t="str">
        <f>VLOOKUP(E16,WD!$C$6:$K$59,3,FALSE)</f>
        <v>SURVIVOR</v>
      </c>
      <c r="I16" s="532" t="s">
        <v>289</v>
      </c>
      <c r="J16" s="532" t="str">
        <f>VLOOKUP(G16,WD!$C$6:$K$59,3,FALSE)</f>
        <v>NyiYht</v>
      </c>
      <c r="K16" s="466">
        <v>0</v>
      </c>
      <c r="L16" s="466">
        <f>16+13</f>
        <v>29</v>
      </c>
      <c r="M16" s="466">
        <f>21+21</f>
        <v>42</v>
      </c>
      <c r="N16" s="466">
        <v>2</v>
      </c>
      <c r="O16" s="510" t="s">
        <v>771</v>
      </c>
      <c r="Q16" s="518">
        <v>4</v>
      </c>
      <c r="R16" s="524" t="s">
        <v>383</v>
      </c>
      <c r="S16" s="524">
        <v>0</v>
      </c>
      <c r="T16" s="524">
        <v>3</v>
      </c>
      <c r="U16" s="524">
        <f>S16*3+T16*0</f>
        <v>0</v>
      </c>
      <c r="W16" s="599"/>
    </row>
    <row r="17" spans="1:15" ht="16.5">
      <c r="A17" s="533"/>
      <c r="B17" s="521">
        <v>12</v>
      </c>
      <c r="C17" s="535" t="s">
        <v>238</v>
      </c>
      <c r="D17" s="536">
        <v>6</v>
      </c>
      <c r="E17" s="537" t="s">
        <v>71</v>
      </c>
      <c r="F17" s="538" t="s">
        <v>289</v>
      </c>
      <c r="G17" s="539" t="s">
        <v>77</v>
      </c>
      <c r="H17" s="546" t="str">
        <f>VLOOKUP(E17,WD!$C$6:$K$59,3,FALSE)</f>
        <v>ST</v>
      </c>
      <c r="I17" s="546" t="s">
        <v>289</v>
      </c>
      <c r="J17" s="546" t="str">
        <f>VLOOKUP(G17,WD!$C$6:$K$59,3,FALSE)</f>
        <v>Acti-tape</v>
      </c>
      <c r="K17" s="466">
        <v>2</v>
      </c>
      <c r="L17" s="466">
        <f>22+21</f>
        <v>43</v>
      </c>
      <c r="M17" s="466">
        <f>20+14</f>
        <v>34</v>
      </c>
      <c r="N17" s="466">
        <v>0</v>
      </c>
      <c r="O17" s="510" t="s">
        <v>772</v>
      </c>
    </row>
    <row r="18" spans="1:14" ht="16.5" hidden="1">
      <c r="A18" s="533"/>
      <c r="B18" s="526">
        <v>13</v>
      </c>
      <c r="C18" s="547" t="s">
        <v>290</v>
      </c>
      <c r="D18" s="528">
        <v>1</v>
      </c>
      <c r="E18" s="541" t="s">
        <v>291</v>
      </c>
      <c r="F18" s="542" t="s">
        <v>289</v>
      </c>
      <c r="G18" s="543" t="s">
        <v>292</v>
      </c>
      <c r="H18" s="520" t="e">
        <f>VLOOKUP(E18,MD!$C$6:$K$54,3,FALSE)</f>
        <v>#N/A</v>
      </c>
      <c r="I18" s="520" t="s">
        <v>289</v>
      </c>
      <c r="J18" s="520" t="e">
        <f>VLOOKUP(G18,MD!$C$6:$K$54,3,FALSE)</f>
        <v>#N/A</v>
      </c>
      <c r="K18" s="466"/>
      <c r="L18" s="466"/>
      <c r="M18" s="466"/>
      <c r="N18" s="466"/>
    </row>
    <row r="19" spans="1:14" ht="16.5" hidden="1">
      <c r="A19" s="533" t="e">
        <f>IF(#REF!&lt;&gt;#REF!,#REF!,"")</f>
        <v>#REF!</v>
      </c>
      <c r="B19" s="521">
        <v>14</v>
      </c>
      <c r="C19" s="544" t="s">
        <v>290</v>
      </c>
      <c r="D19" s="528">
        <v>2</v>
      </c>
      <c r="E19" s="523" t="s">
        <v>293</v>
      </c>
      <c r="F19" s="530" t="s">
        <v>289</v>
      </c>
      <c r="G19" s="534" t="s">
        <v>294</v>
      </c>
      <c r="H19" s="532" t="e">
        <f>VLOOKUP(E19,MD!$C$6:$K$54,3,FALSE)</f>
        <v>#N/A</v>
      </c>
      <c r="I19" s="532" t="s">
        <v>289</v>
      </c>
      <c r="J19" s="532" t="e">
        <f>VLOOKUP(G19,MD!$C$6:$K$54,3,FALSE)</f>
        <v>#N/A</v>
      </c>
      <c r="K19" s="466"/>
      <c r="L19" s="466"/>
      <c r="M19" s="466"/>
      <c r="N19" s="466"/>
    </row>
    <row r="20" spans="1:14" ht="16.5" hidden="1">
      <c r="A20" s="533" t="e">
        <f>IF(#REF!&lt;&gt;#REF!,#REF!,"")</f>
        <v>#REF!</v>
      </c>
      <c r="B20" s="526">
        <v>15</v>
      </c>
      <c r="C20" s="544" t="s">
        <v>290</v>
      </c>
      <c r="D20" s="528">
        <v>3</v>
      </c>
      <c r="E20" s="523" t="s">
        <v>291</v>
      </c>
      <c r="F20" s="530" t="s">
        <v>289</v>
      </c>
      <c r="G20" s="534" t="s">
        <v>294</v>
      </c>
      <c r="H20" s="532" t="e">
        <f>VLOOKUP(E20,MD!$C$6:$K$54,3,FALSE)</f>
        <v>#N/A</v>
      </c>
      <c r="I20" s="532" t="s">
        <v>289</v>
      </c>
      <c r="J20" s="532" t="e">
        <f>VLOOKUP(G20,MD!$C$6:$K$54,3,FALSE)</f>
        <v>#N/A</v>
      </c>
      <c r="K20" s="466"/>
      <c r="L20" s="466"/>
      <c r="M20" s="466"/>
      <c r="N20" s="466"/>
    </row>
    <row r="21" spans="1:14" ht="16.5" hidden="1">
      <c r="A21" s="533" t="e">
        <f>IF(#REF!&lt;&gt;#REF!,#REF!,"")</f>
        <v>#REF!</v>
      </c>
      <c r="B21" s="521">
        <v>16</v>
      </c>
      <c r="C21" s="544" t="s">
        <v>290</v>
      </c>
      <c r="D21" s="528">
        <v>4</v>
      </c>
      <c r="E21" s="523" t="s">
        <v>293</v>
      </c>
      <c r="F21" s="530" t="s">
        <v>289</v>
      </c>
      <c r="G21" s="534" t="s">
        <v>292</v>
      </c>
      <c r="H21" s="532" t="e">
        <f>VLOOKUP(E21,MD!$C$6:$K$54,3,FALSE)</f>
        <v>#N/A</v>
      </c>
      <c r="I21" s="532" t="s">
        <v>289</v>
      </c>
      <c r="J21" s="532" t="e">
        <f>VLOOKUP(G21,MD!$C$6:$K$54,3,FALSE)</f>
        <v>#N/A</v>
      </c>
      <c r="K21" s="466"/>
      <c r="L21" s="466"/>
      <c r="M21" s="466"/>
      <c r="N21" s="466"/>
    </row>
    <row r="22" spans="1:14" ht="16.5" hidden="1">
      <c r="A22" s="533" t="e">
        <f>IF(#REF!&lt;&gt;#REF!,#REF!,"")</f>
        <v>#REF!</v>
      </c>
      <c r="B22" s="526">
        <v>17</v>
      </c>
      <c r="C22" s="544" t="s">
        <v>290</v>
      </c>
      <c r="D22" s="528">
        <v>5</v>
      </c>
      <c r="E22" s="523" t="s">
        <v>294</v>
      </c>
      <c r="F22" s="530" t="s">
        <v>289</v>
      </c>
      <c r="G22" s="534" t="s">
        <v>292</v>
      </c>
      <c r="H22" s="532" t="e">
        <f>VLOOKUP(E22,MD!$C$6:$K$54,3,FALSE)</f>
        <v>#N/A</v>
      </c>
      <c r="I22" s="532" t="s">
        <v>289</v>
      </c>
      <c r="J22" s="532" t="e">
        <f>VLOOKUP(G22,MD!$C$6:$K$54,3,FALSE)</f>
        <v>#N/A</v>
      </c>
      <c r="K22" s="466"/>
      <c r="L22" s="466"/>
      <c r="M22" s="466"/>
      <c r="N22" s="466"/>
    </row>
    <row r="23" spans="1:14" ht="16.5" hidden="1">
      <c r="A23" s="533" t="e">
        <f>IF(#REF!&lt;&gt;#REF!,#REF!,"")</f>
        <v>#REF!</v>
      </c>
      <c r="B23" s="521">
        <v>18</v>
      </c>
      <c r="C23" s="535" t="s">
        <v>290</v>
      </c>
      <c r="D23" s="536">
        <v>6</v>
      </c>
      <c r="E23" s="537" t="s">
        <v>291</v>
      </c>
      <c r="F23" s="538" t="s">
        <v>289</v>
      </c>
      <c r="G23" s="539" t="s">
        <v>293</v>
      </c>
      <c r="H23" s="532" t="e">
        <f>VLOOKUP(E23,MD!$C$6:$K$54,3,FALSE)</f>
        <v>#N/A</v>
      </c>
      <c r="I23" s="532" t="s">
        <v>289</v>
      </c>
      <c r="J23" s="532" t="e">
        <f>VLOOKUP(G23,MD!$C$6:$K$54,3,FALSE)</f>
        <v>#N/A</v>
      </c>
      <c r="K23" s="466"/>
      <c r="L23" s="466"/>
      <c r="M23" s="466"/>
      <c r="N23" s="466"/>
    </row>
    <row r="24" spans="1:14" ht="16.5" hidden="1">
      <c r="A24" s="533" t="e">
        <f>IF(#REF!&lt;&gt;#REF!,#REF!,"")</f>
        <v>#REF!</v>
      </c>
      <c r="B24" s="526">
        <v>19</v>
      </c>
      <c r="C24" s="527" t="s">
        <v>295</v>
      </c>
      <c r="D24" s="528">
        <v>1</v>
      </c>
      <c r="E24" s="541" t="s">
        <v>296</v>
      </c>
      <c r="F24" s="530" t="s">
        <v>289</v>
      </c>
      <c r="G24" s="543" t="s">
        <v>297</v>
      </c>
      <c r="H24" s="532" t="e">
        <f>VLOOKUP(E24,MD!$C$6:$K$54,3,FALSE)</f>
        <v>#N/A</v>
      </c>
      <c r="I24" s="532" t="s">
        <v>289</v>
      </c>
      <c r="J24" s="532" t="e">
        <f>VLOOKUP(G24,MD!$C$6:$K$54,3,FALSE)</f>
        <v>#N/A</v>
      </c>
      <c r="K24" s="466"/>
      <c r="L24" s="466"/>
      <c r="M24" s="466"/>
      <c r="N24" s="466"/>
    </row>
    <row r="25" spans="1:14" ht="16.5" hidden="1">
      <c r="A25" s="533" t="e">
        <f>IF(#REF!&lt;&gt;#REF!,#REF!,"")</f>
        <v>#REF!</v>
      </c>
      <c r="B25" s="521">
        <v>20</v>
      </c>
      <c r="C25" s="527" t="s">
        <v>295</v>
      </c>
      <c r="D25" s="528">
        <v>2</v>
      </c>
      <c r="E25" s="523" t="s">
        <v>298</v>
      </c>
      <c r="F25" s="530" t="s">
        <v>289</v>
      </c>
      <c r="G25" s="534" t="s">
        <v>299</v>
      </c>
      <c r="H25" s="532" t="e">
        <f>VLOOKUP(E25,MD!$C$6:$K$54,3,FALSE)</f>
        <v>#N/A</v>
      </c>
      <c r="I25" s="532" t="s">
        <v>289</v>
      </c>
      <c r="J25" s="532" t="e">
        <f>VLOOKUP(G25,MD!$C$6:$K$54,3,FALSE)</f>
        <v>#N/A</v>
      </c>
      <c r="K25" s="466"/>
      <c r="L25" s="466"/>
      <c r="M25" s="466"/>
      <c r="N25" s="466"/>
    </row>
    <row r="26" spans="1:14" ht="16.5" hidden="1">
      <c r="A26" s="533" t="e">
        <f>IF(#REF!&lt;&gt;#REF!,#REF!,"")</f>
        <v>#REF!</v>
      </c>
      <c r="B26" s="526">
        <v>21</v>
      </c>
      <c r="C26" s="527" t="s">
        <v>295</v>
      </c>
      <c r="D26" s="528">
        <v>3</v>
      </c>
      <c r="E26" s="523" t="s">
        <v>296</v>
      </c>
      <c r="F26" s="530" t="s">
        <v>289</v>
      </c>
      <c r="G26" s="534" t="s">
        <v>299</v>
      </c>
      <c r="H26" s="532" t="e">
        <f>VLOOKUP(E26,MD!$C$6:$K$54,3,FALSE)</f>
        <v>#N/A</v>
      </c>
      <c r="I26" s="532" t="s">
        <v>289</v>
      </c>
      <c r="J26" s="532" t="e">
        <f>VLOOKUP(G26,MD!$C$6:$K$54,3,FALSE)</f>
        <v>#N/A</v>
      </c>
      <c r="K26" s="466"/>
      <c r="L26" s="466"/>
      <c r="M26" s="466"/>
      <c r="N26" s="466"/>
    </row>
    <row r="27" spans="1:14" ht="16.5" hidden="1">
      <c r="A27" s="533" t="e">
        <f>IF(#REF!&lt;&gt;#REF!,#REF!,"")</f>
        <v>#REF!</v>
      </c>
      <c r="B27" s="521">
        <v>22</v>
      </c>
      <c r="C27" s="527" t="s">
        <v>295</v>
      </c>
      <c r="D27" s="528">
        <v>4</v>
      </c>
      <c r="E27" s="523" t="s">
        <v>298</v>
      </c>
      <c r="F27" s="530" t="s">
        <v>289</v>
      </c>
      <c r="G27" s="534" t="s">
        <v>297</v>
      </c>
      <c r="H27" s="532" t="e">
        <f>VLOOKUP(E27,MD!$C$6:$K$54,3,FALSE)</f>
        <v>#N/A</v>
      </c>
      <c r="I27" s="532" t="s">
        <v>289</v>
      </c>
      <c r="J27" s="532" t="e">
        <f>VLOOKUP(G27,MD!$C$6:$K$54,3,FALSE)</f>
        <v>#N/A</v>
      </c>
      <c r="K27" s="466"/>
      <c r="L27" s="466"/>
      <c r="M27" s="466"/>
      <c r="N27" s="466"/>
    </row>
    <row r="28" spans="1:14" ht="16.5" hidden="1">
      <c r="A28" s="533" t="e">
        <f>IF(#REF!&lt;&gt;#REF!,#REF!,"")</f>
        <v>#REF!</v>
      </c>
      <c r="B28" s="526">
        <v>23</v>
      </c>
      <c r="C28" s="527" t="s">
        <v>295</v>
      </c>
      <c r="D28" s="528">
        <v>5</v>
      </c>
      <c r="E28" s="523" t="s">
        <v>299</v>
      </c>
      <c r="F28" s="530" t="s">
        <v>289</v>
      </c>
      <c r="G28" s="534" t="s">
        <v>297</v>
      </c>
      <c r="H28" s="532" t="e">
        <f>VLOOKUP(E28,MD!$C$6:$K$54,3,FALSE)</f>
        <v>#N/A</v>
      </c>
      <c r="I28" s="532" t="s">
        <v>289</v>
      </c>
      <c r="J28" s="532" t="e">
        <f>VLOOKUP(G28,MD!$C$6:$K$54,3,FALSE)</f>
        <v>#N/A</v>
      </c>
      <c r="K28" s="466"/>
      <c r="L28" s="466"/>
      <c r="M28" s="466"/>
      <c r="N28" s="466"/>
    </row>
    <row r="29" spans="1:14" ht="16.5" hidden="1">
      <c r="A29" s="533" t="e">
        <f>IF(#REF!&lt;&gt;#REF!,#REF!,"")</f>
        <v>#REF!</v>
      </c>
      <c r="B29" s="521">
        <v>24</v>
      </c>
      <c r="C29" s="527" t="s">
        <v>295</v>
      </c>
      <c r="D29" s="536">
        <v>6</v>
      </c>
      <c r="E29" s="537" t="s">
        <v>296</v>
      </c>
      <c r="F29" s="538" t="s">
        <v>289</v>
      </c>
      <c r="G29" s="539" t="s">
        <v>298</v>
      </c>
      <c r="H29" s="532" t="e">
        <f>VLOOKUP(E29,MD!$C$6:$K$54,3,FALSE)</f>
        <v>#N/A</v>
      </c>
      <c r="I29" s="532" t="s">
        <v>289</v>
      </c>
      <c r="J29" s="532" t="e">
        <f>VLOOKUP(G29,MD!$C$6:$K$54,3,FALSE)</f>
        <v>#N/A</v>
      </c>
      <c r="K29" s="466"/>
      <c r="L29" s="466"/>
      <c r="M29" s="466"/>
      <c r="N29" s="466"/>
    </row>
    <row r="30" spans="1:14" ht="16.5" hidden="1">
      <c r="A30" s="533" t="e">
        <f>IF(#REF!&lt;&gt;#REF!,#REF!,"")</f>
        <v>#REF!</v>
      </c>
      <c r="B30" s="526">
        <v>25</v>
      </c>
      <c r="C30" s="548" t="s">
        <v>300</v>
      </c>
      <c r="D30" s="528">
        <v>1</v>
      </c>
      <c r="E30" s="549" t="s">
        <v>126</v>
      </c>
      <c r="F30" s="530" t="s">
        <v>289</v>
      </c>
      <c r="G30" s="550" t="s">
        <v>209</v>
      </c>
      <c r="H30" s="532" t="str">
        <f>VLOOKUP(E30,MD!$C$6:$K$54,3,FALSE)</f>
        <v>後生仔</v>
      </c>
      <c r="I30" s="532" t="s">
        <v>289</v>
      </c>
      <c r="J30" s="532" t="str">
        <f>VLOOKUP(G30,MD!$C$6:$K$54,3,FALSE)</f>
        <v>呀哈</v>
      </c>
      <c r="K30" s="466"/>
      <c r="L30" s="466"/>
      <c r="M30" s="466"/>
      <c r="N30" s="466"/>
    </row>
    <row r="31" spans="1:14" ht="16.5" hidden="1">
      <c r="A31" s="533" t="e">
        <f>IF(#REF!&lt;&gt;#REF!,#REF!,"")</f>
        <v>#REF!</v>
      </c>
      <c r="B31" s="521">
        <v>26</v>
      </c>
      <c r="C31" s="544" t="s">
        <v>300</v>
      </c>
      <c r="D31" s="528">
        <v>2</v>
      </c>
      <c r="E31" s="549" t="s">
        <v>149</v>
      </c>
      <c r="F31" s="530" t="s">
        <v>289</v>
      </c>
      <c r="G31" s="550" t="s">
        <v>198</v>
      </c>
      <c r="H31" s="532" t="str">
        <f>VLOOKUP(E31,MD!$C$6:$K$54,3,FALSE)</f>
        <v>米奇與勁大隻傑</v>
      </c>
      <c r="I31" s="532" t="s">
        <v>289</v>
      </c>
      <c r="J31" s="532" t="str">
        <f>VLOOKUP(G31,MD!$C$6:$K$54,3,FALSE)</f>
        <v>SCAA-99</v>
      </c>
      <c r="K31" s="466"/>
      <c r="L31" s="466"/>
      <c r="M31" s="466"/>
      <c r="N31" s="466"/>
    </row>
    <row r="32" spans="1:14" ht="16.5" hidden="1">
      <c r="A32" s="533" t="e">
        <f>IF(#REF!&lt;&gt;#REF!,#REF!,"")</f>
        <v>#REF!</v>
      </c>
      <c r="B32" s="526">
        <v>27</v>
      </c>
      <c r="C32" s="544" t="s">
        <v>300</v>
      </c>
      <c r="D32" s="528">
        <v>3</v>
      </c>
      <c r="E32" s="549" t="s">
        <v>126</v>
      </c>
      <c r="F32" s="530" t="s">
        <v>289</v>
      </c>
      <c r="G32" s="550" t="s">
        <v>198</v>
      </c>
      <c r="H32" s="532" t="str">
        <f>VLOOKUP(E32,MD!$C$6:$K$54,3,FALSE)</f>
        <v>後生仔</v>
      </c>
      <c r="I32" s="532" t="s">
        <v>289</v>
      </c>
      <c r="J32" s="532" t="str">
        <f>VLOOKUP(G32,MD!$C$6:$K$54,3,FALSE)</f>
        <v>SCAA-99</v>
      </c>
      <c r="K32" s="466"/>
      <c r="L32" s="466"/>
      <c r="M32" s="466"/>
      <c r="N32" s="466"/>
    </row>
    <row r="33" spans="1:14" ht="16.5" hidden="1">
      <c r="A33" s="533" t="e">
        <f>IF(#REF!&lt;&gt;#REF!,#REF!,"")</f>
        <v>#REF!</v>
      </c>
      <c r="B33" s="521">
        <v>28</v>
      </c>
      <c r="C33" s="544" t="s">
        <v>300</v>
      </c>
      <c r="D33" s="528">
        <v>4</v>
      </c>
      <c r="E33" s="549" t="s">
        <v>149</v>
      </c>
      <c r="F33" s="530" t="s">
        <v>289</v>
      </c>
      <c r="G33" s="550" t="s">
        <v>209</v>
      </c>
      <c r="H33" s="532" t="str">
        <f>VLOOKUP(E33,MD!$C$6:$K$54,3,FALSE)</f>
        <v>米奇與勁大隻傑</v>
      </c>
      <c r="I33" s="546" t="s">
        <v>289</v>
      </c>
      <c r="J33" s="532" t="str">
        <f>VLOOKUP(G33,MD!$C$6:$K$54,3,FALSE)</f>
        <v>呀哈</v>
      </c>
      <c r="K33" s="466"/>
      <c r="L33" s="466"/>
      <c r="M33" s="466"/>
      <c r="N33" s="466"/>
    </row>
    <row r="34" spans="1:14" ht="16.5" hidden="1">
      <c r="A34" s="533" t="e">
        <f>IF(#REF!&lt;&gt;#REF!,#REF!,"")</f>
        <v>#REF!</v>
      </c>
      <c r="B34" s="526">
        <v>29</v>
      </c>
      <c r="C34" s="544" t="s">
        <v>300</v>
      </c>
      <c r="D34" s="528">
        <v>5</v>
      </c>
      <c r="E34" s="549" t="s">
        <v>198</v>
      </c>
      <c r="F34" s="530" t="s">
        <v>289</v>
      </c>
      <c r="G34" s="550" t="s">
        <v>209</v>
      </c>
      <c r="H34" s="532" t="str">
        <f>VLOOKUP(E34,MD!$C$6:$K$54,3,FALSE)</f>
        <v>SCAA-99</v>
      </c>
      <c r="I34" s="520" t="s">
        <v>289</v>
      </c>
      <c r="J34" s="532" t="str">
        <f>VLOOKUP(G34,MD!$C$6:$K$54,3,FALSE)</f>
        <v>呀哈</v>
      </c>
      <c r="K34" s="466"/>
      <c r="L34" s="466"/>
      <c r="M34" s="466"/>
      <c r="N34" s="466"/>
    </row>
    <row r="35" spans="1:14" ht="16.5" hidden="1">
      <c r="A35" s="533" t="e">
        <f>IF(#REF!&lt;&gt;#REF!,#REF!,"")</f>
        <v>#REF!</v>
      </c>
      <c r="B35" s="521">
        <v>30</v>
      </c>
      <c r="C35" s="544" t="s">
        <v>300</v>
      </c>
      <c r="D35" s="536">
        <v>6</v>
      </c>
      <c r="E35" s="551" t="s">
        <v>126</v>
      </c>
      <c r="F35" s="538" t="s">
        <v>289</v>
      </c>
      <c r="G35" s="552" t="s">
        <v>149</v>
      </c>
      <c r="H35" s="532" t="str">
        <f>VLOOKUP(E35,MD!$C$6:$K$54,3,FALSE)</f>
        <v>後生仔</v>
      </c>
      <c r="I35" s="532" t="s">
        <v>289</v>
      </c>
      <c r="J35" s="532" t="str">
        <f>VLOOKUP(G35,MD!$C$6:$K$54,3,FALSE)</f>
        <v>米奇與勁大隻傑</v>
      </c>
      <c r="K35" s="466"/>
      <c r="L35" s="466"/>
      <c r="M35" s="466"/>
      <c r="N35" s="466"/>
    </row>
    <row r="36" spans="1:14" ht="16.5" hidden="1">
      <c r="A36" s="533" t="e">
        <f>IF(#REF!&lt;&gt;#REF!,#REF!,"")</f>
        <v>#REF!</v>
      </c>
      <c r="B36" s="526">
        <v>31</v>
      </c>
      <c r="C36" s="548" t="s">
        <v>301</v>
      </c>
      <c r="D36" s="528">
        <v>1</v>
      </c>
      <c r="E36" s="553" t="s">
        <v>130</v>
      </c>
      <c r="F36" s="542" t="s">
        <v>289</v>
      </c>
      <c r="G36" s="554" t="s">
        <v>211</v>
      </c>
      <c r="H36" s="532" t="str">
        <f>VLOOKUP(E36,MD!$C$6:$K$54,3,FALSE)</f>
        <v>SKTL</v>
      </c>
      <c r="I36" s="532" t="s">
        <v>289</v>
      </c>
      <c r="J36" s="532" t="str">
        <f>VLOOKUP(G36,MD!$C$6:$K$54,3,FALSE)</f>
        <v>一般貨色</v>
      </c>
      <c r="K36" s="466"/>
      <c r="L36" s="466"/>
      <c r="M36" s="466"/>
      <c r="N36" s="466"/>
    </row>
    <row r="37" spans="1:14" ht="16.5" hidden="1">
      <c r="A37" s="533" t="e">
        <f>IF(#REF!&lt;&gt;#REF!,#REF!,"")</f>
        <v>#REF!</v>
      </c>
      <c r="B37" s="521">
        <v>32</v>
      </c>
      <c r="C37" s="544" t="s">
        <v>301</v>
      </c>
      <c r="D37" s="528">
        <v>2</v>
      </c>
      <c r="E37" s="549" t="s">
        <v>146</v>
      </c>
      <c r="F37" s="530" t="s">
        <v>289</v>
      </c>
      <c r="G37" s="550" t="s">
        <v>199</v>
      </c>
      <c r="H37" s="532" t="str">
        <f>VLOOKUP(E37,MD!$C$6:$K$54,3,FALSE)</f>
        <v>傻烽</v>
      </c>
      <c r="I37" s="532" t="s">
        <v>289</v>
      </c>
      <c r="J37" s="532" t="str">
        <f>VLOOKUP(G37,MD!$C$6:$K$54,3,FALSE)</f>
        <v>SCAA K&amp;L</v>
      </c>
      <c r="K37" s="466"/>
      <c r="L37" s="466"/>
      <c r="M37" s="466"/>
      <c r="N37" s="466"/>
    </row>
    <row r="38" spans="1:14" ht="16.5" hidden="1">
      <c r="A38" s="533" t="e">
        <f>IF(#REF!&lt;&gt;#REF!,#REF!,"")</f>
        <v>#REF!</v>
      </c>
      <c r="B38" s="526">
        <v>33</v>
      </c>
      <c r="C38" s="544" t="s">
        <v>301</v>
      </c>
      <c r="D38" s="528">
        <v>3</v>
      </c>
      <c r="E38" s="549" t="s">
        <v>130</v>
      </c>
      <c r="F38" s="530" t="s">
        <v>289</v>
      </c>
      <c r="G38" s="550" t="s">
        <v>199</v>
      </c>
      <c r="H38" s="532" t="str">
        <f>VLOOKUP(E38,MD!$C$6:$K$54,3,FALSE)</f>
        <v>SKTL</v>
      </c>
      <c r="I38" s="532" t="s">
        <v>289</v>
      </c>
      <c r="J38" s="532" t="str">
        <f>VLOOKUP(G38,MD!$C$6:$K$54,3,FALSE)</f>
        <v>SCAA K&amp;L</v>
      </c>
      <c r="K38" s="466"/>
      <c r="L38" s="466"/>
      <c r="M38" s="466"/>
      <c r="N38" s="466"/>
    </row>
    <row r="39" spans="1:14" ht="16.5" hidden="1">
      <c r="A39" s="533" t="e">
        <f>IF(#REF!&lt;&gt;#REF!,#REF!,"")</f>
        <v>#REF!</v>
      </c>
      <c r="B39" s="521">
        <v>34</v>
      </c>
      <c r="C39" s="544" t="s">
        <v>301</v>
      </c>
      <c r="D39" s="528">
        <v>4</v>
      </c>
      <c r="E39" s="549" t="s">
        <v>146</v>
      </c>
      <c r="F39" s="530" t="s">
        <v>289</v>
      </c>
      <c r="G39" s="550" t="s">
        <v>211</v>
      </c>
      <c r="H39" s="532" t="str">
        <f>VLOOKUP(E39,MD!$C$6:$K$54,3,FALSE)</f>
        <v>傻烽</v>
      </c>
      <c r="I39" s="532" t="s">
        <v>289</v>
      </c>
      <c r="J39" s="532" t="str">
        <f>VLOOKUP(G39,MD!$C$6:$K$54,3,FALSE)</f>
        <v>一般貨色</v>
      </c>
      <c r="K39" s="466"/>
      <c r="L39" s="466"/>
      <c r="M39" s="466"/>
      <c r="N39" s="466"/>
    </row>
    <row r="40" spans="1:14" ht="16.5" hidden="1">
      <c r="A40" s="533" t="e">
        <f>IF(#REF!&lt;&gt;#REF!,#REF!,"")</f>
        <v>#REF!</v>
      </c>
      <c r="B40" s="526">
        <v>35</v>
      </c>
      <c r="C40" s="544" t="s">
        <v>301</v>
      </c>
      <c r="D40" s="528">
        <v>5</v>
      </c>
      <c r="E40" s="549" t="s">
        <v>199</v>
      </c>
      <c r="F40" s="530" t="s">
        <v>289</v>
      </c>
      <c r="G40" s="550" t="s">
        <v>211</v>
      </c>
      <c r="H40" s="532" t="str">
        <f>VLOOKUP(E40,MD!$C$6:$K$54,3,FALSE)</f>
        <v>SCAA K&amp;L</v>
      </c>
      <c r="I40" s="532" t="s">
        <v>289</v>
      </c>
      <c r="J40" s="532" t="str">
        <f>VLOOKUP(G40,MD!$C$6:$K$54,3,FALSE)</f>
        <v>一般貨色</v>
      </c>
      <c r="K40" s="466"/>
      <c r="L40" s="466"/>
      <c r="M40" s="466"/>
      <c r="N40" s="466"/>
    </row>
    <row r="41" spans="1:14" ht="16.5" hidden="1">
      <c r="A41" s="533" t="e">
        <f>IF(#REF!&lt;&gt;#REF!,#REF!,"")</f>
        <v>#REF!</v>
      </c>
      <c r="B41" s="521">
        <v>36</v>
      </c>
      <c r="C41" s="535" t="s">
        <v>301</v>
      </c>
      <c r="D41" s="536">
        <v>6</v>
      </c>
      <c r="E41" s="551" t="s">
        <v>130</v>
      </c>
      <c r="F41" s="538" t="s">
        <v>289</v>
      </c>
      <c r="G41" s="552" t="s">
        <v>146</v>
      </c>
      <c r="H41" s="532" t="str">
        <f>VLOOKUP(E41,MD!$C$6:$K$54,3,FALSE)</f>
        <v>SKTL</v>
      </c>
      <c r="I41" s="532" t="s">
        <v>289</v>
      </c>
      <c r="J41" s="532" t="str">
        <f>VLOOKUP(G41,MD!$C$6:$K$54,3,FALSE)</f>
        <v>傻烽</v>
      </c>
      <c r="K41" s="466"/>
      <c r="L41" s="466"/>
      <c r="M41" s="466"/>
      <c r="N41" s="466"/>
    </row>
    <row r="42" spans="1:14" ht="16.5" hidden="1">
      <c r="A42" s="533" t="e">
        <f>IF(#REF!&lt;&gt;#REF!,#REF!,"")</f>
        <v>#REF!</v>
      </c>
      <c r="B42" s="526">
        <v>37</v>
      </c>
      <c r="C42" s="527" t="s">
        <v>302</v>
      </c>
      <c r="D42" s="528">
        <v>1</v>
      </c>
      <c r="E42" s="553" t="s">
        <v>134</v>
      </c>
      <c r="F42" s="542" t="s">
        <v>289</v>
      </c>
      <c r="G42" s="554" t="s">
        <v>213</v>
      </c>
      <c r="H42" s="532" t="str">
        <f>VLOOKUP(E42,MD!$C$6:$K$54,3,FALSE)</f>
        <v>handshake</v>
      </c>
      <c r="I42" s="532" t="s">
        <v>289</v>
      </c>
      <c r="J42" s="532" t="str">
        <f>VLOOKUP(G42,MD!$C$6:$K$54,3,FALSE)</f>
        <v>肇青一隊</v>
      </c>
      <c r="K42" s="466"/>
      <c r="L42" s="466"/>
      <c r="M42" s="466"/>
      <c r="N42" s="466"/>
    </row>
    <row r="43" spans="1:14" ht="16.5" hidden="1">
      <c r="A43" s="533" t="e">
        <f>IF(#REF!&lt;&gt;#REF!,#REF!,"")</f>
        <v>#REF!</v>
      </c>
      <c r="B43" s="521">
        <v>38</v>
      </c>
      <c r="C43" s="527" t="s">
        <v>302</v>
      </c>
      <c r="D43" s="528">
        <v>2</v>
      </c>
      <c r="E43" s="549" t="s">
        <v>143</v>
      </c>
      <c r="F43" s="530" t="s">
        <v>289</v>
      </c>
      <c r="G43" s="550" t="s">
        <v>200</v>
      </c>
      <c r="H43" s="532" t="str">
        <f>VLOOKUP(E43,MD!$C$6:$K$54,3,FALSE)</f>
        <v>紅藍</v>
      </c>
      <c r="I43" s="532" t="s">
        <v>289</v>
      </c>
      <c r="J43" s="532" t="str">
        <f>VLOOKUP(G43,MD!$C$6:$K$54,3,FALSE)</f>
        <v>肇青二隊</v>
      </c>
      <c r="K43" s="466"/>
      <c r="L43" s="466"/>
      <c r="M43" s="466"/>
      <c r="N43" s="466"/>
    </row>
    <row r="44" spans="1:14" ht="16.5" hidden="1">
      <c r="A44" s="533" t="e">
        <f>IF(#REF!&lt;&gt;#REF!,#REF!,"")</f>
        <v>#REF!</v>
      </c>
      <c r="B44" s="526">
        <v>39</v>
      </c>
      <c r="C44" s="527" t="s">
        <v>302</v>
      </c>
      <c r="D44" s="528">
        <v>3</v>
      </c>
      <c r="E44" s="549" t="s">
        <v>134</v>
      </c>
      <c r="F44" s="530" t="s">
        <v>289</v>
      </c>
      <c r="G44" s="550" t="s">
        <v>200</v>
      </c>
      <c r="H44" s="532" t="str">
        <f>VLOOKUP(E44,MD!$C$6:$K$54,3,FALSE)</f>
        <v>handshake</v>
      </c>
      <c r="I44" s="532" t="s">
        <v>289</v>
      </c>
      <c r="J44" s="532" t="str">
        <f>VLOOKUP(G44,MD!$C$6:$K$54,3,FALSE)</f>
        <v>肇青二隊</v>
      </c>
      <c r="K44" s="466"/>
      <c r="L44" s="466"/>
      <c r="M44" s="466"/>
      <c r="N44" s="466"/>
    </row>
    <row r="45" spans="1:14" ht="16.5" hidden="1">
      <c r="A45" s="533" t="e">
        <f>IF(#REF!&lt;&gt;#REF!,#REF!,"")</f>
        <v>#REF!</v>
      </c>
      <c r="B45" s="521">
        <v>40</v>
      </c>
      <c r="C45" s="527" t="s">
        <v>302</v>
      </c>
      <c r="D45" s="528">
        <v>4</v>
      </c>
      <c r="E45" s="549" t="s">
        <v>143</v>
      </c>
      <c r="F45" s="530" t="s">
        <v>289</v>
      </c>
      <c r="G45" s="550" t="s">
        <v>213</v>
      </c>
      <c r="H45" s="532" t="str">
        <f>VLOOKUP(E45,MD!$C$6:$K$54,3,FALSE)</f>
        <v>紅藍</v>
      </c>
      <c r="I45" s="532" t="s">
        <v>289</v>
      </c>
      <c r="J45" s="532" t="str">
        <f>VLOOKUP(G45,MD!$C$6:$K$54,3,FALSE)</f>
        <v>肇青一隊</v>
      </c>
      <c r="K45" s="466"/>
      <c r="L45" s="466"/>
      <c r="M45" s="466"/>
      <c r="N45" s="466"/>
    </row>
    <row r="46" spans="2:14" ht="16.5" hidden="1">
      <c r="B46" s="526">
        <v>41</v>
      </c>
      <c r="C46" s="527" t="s">
        <v>302</v>
      </c>
      <c r="D46" s="528">
        <v>5</v>
      </c>
      <c r="E46" s="549" t="s">
        <v>200</v>
      </c>
      <c r="F46" s="530" t="s">
        <v>289</v>
      </c>
      <c r="G46" s="550" t="s">
        <v>213</v>
      </c>
      <c r="H46" s="532" t="str">
        <f>VLOOKUP(E46,MD!$C$6:$K$54,3,FALSE)</f>
        <v>肇青二隊</v>
      </c>
      <c r="I46" s="532" t="s">
        <v>289</v>
      </c>
      <c r="J46" s="532" t="str">
        <f>VLOOKUP(G46,MD!$C$6:$K$54,3,FALSE)</f>
        <v>肇青一隊</v>
      </c>
      <c r="K46" s="466"/>
      <c r="L46" s="466"/>
      <c r="M46" s="466"/>
      <c r="N46" s="466"/>
    </row>
    <row r="47" spans="2:14" ht="16.5" hidden="1">
      <c r="B47" s="521">
        <v>42</v>
      </c>
      <c r="C47" s="535" t="s">
        <v>302</v>
      </c>
      <c r="D47" s="536">
        <v>6</v>
      </c>
      <c r="E47" s="551" t="s">
        <v>134</v>
      </c>
      <c r="F47" s="538" t="s">
        <v>289</v>
      </c>
      <c r="G47" s="552" t="s">
        <v>143</v>
      </c>
      <c r="H47" s="532" t="str">
        <f>VLOOKUP(E47,MD!$C$6:$K$54,3,FALSE)</f>
        <v>handshake</v>
      </c>
      <c r="I47" s="532" t="s">
        <v>289</v>
      </c>
      <c r="J47" s="532" t="str">
        <f>VLOOKUP(G47,MD!$C$6:$K$54,3,FALSE)</f>
        <v>紅藍</v>
      </c>
      <c r="K47" s="466"/>
      <c r="L47" s="466"/>
      <c r="M47" s="466"/>
      <c r="N47" s="466"/>
    </row>
    <row r="48" spans="2:14" ht="16.5" hidden="1">
      <c r="B48" s="526">
        <v>43</v>
      </c>
      <c r="C48" s="527" t="s">
        <v>303</v>
      </c>
      <c r="D48" s="528">
        <v>1</v>
      </c>
      <c r="E48" s="549" t="s">
        <v>137</v>
      </c>
      <c r="F48" s="530" t="s">
        <v>289</v>
      </c>
      <c r="G48" s="550" t="s">
        <v>215</v>
      </c>
      <c r="H48" s="532" t="str">
        <f>VLOOKUP(E48,MD!$C$6:$K$54,3,FALSE)</f>
        <v>撈碧鵰</v>
      </c>
      <c r="I48" s="532" t="s">
        <v>289</v>
      </c>
      <c r="J48" s="532" t="str">
        <f>VLOOKUP(G48,MD!$C$6:$K$54,3,FALSE)</f>
        <v>隨心96ers</v>
      </c>
      <c r="K48" s="466"/>
      <c r="L48" s="466"/>
      <c r="M48" s="466"/>
      <c r="N48" s="466"/>
    </row>
    <row r="49" spans="2:14" ht="16.5" hidden="1">
      <c r="B49" s="521">
        <v>44</v>
      </c>
      <c r="C49" s="527" t="s">
        <v>303</v>
      </c>
      <c r="D49" s="528">
        <v>2</v>
      </c>
      <c r="E49" s="549" t="s">
        <v>140</v>
      </c>
      <c r="F49" s="530" t="s">
        <v>289</v>
      </c>
      <c r="G49" s="550" t="s">
        <v>201</v>
      </c>
      <c r="H49" s="532" t="str">
        <f>VLOOKUP(E49,MD!$C$6:$K$54,3,FALSE)</f>
        <v>Alps琨</v>
      </c>
      <c r="I49" s="532" t="s">
        <v>289</v>
      </c>
      <c r="J49" s="532" t="str">
        <f>VLOOKUP(G49,MD!$C$6:$K$54,3,FALSE)</f>
        <v>隨心 2</v>
      </c>
      <c r="K49" s="466"/>
      <c r="L49" s="466"/>
      <c r="M49" s="466"/>
      <c r="N49" s="466"/>
    </row>
    <row r="50" spans="2:14" ht="16.5" hidden="1">
      <c r="B50" s="526">
        <v>45</v>
      </c>
      <c r="C50" s="527" t="s">
        <v>303</v>
      </c>
      <c r="D50" s="528">
        <v>3</v>
      </c>
      <c r="E50" s="549" t="s">
        <v>137</v>
      </c>
      <c r="F50" s="530" t="s">
        <v>289</v>
      </c>
      <c r="G50" s="550" t="s">
        <v>201</v>
      </c>
      <c r="H50" s="532" t="str">
        <f>VLOOKUP(E50,MD!$C$6:$K$54,3,FALSE)</f>
        <v>撈碧鵰</v>
      </c>
      <c r="I50" s="532" t="s">
        <v>289</v>
      </c>
      <c r="J50" s="532" t="str">
        <f>VLOOKUP(G50,MD!$C$6:$K$54,3,FALSE)</f>
        <v>隨心 2</v>
      </c>
      <c r="K50" s="466"/>
      <c r="L50" s="466"/>
      <c r="M50" s="466"/>
      <c r="N50" s="466"/>
    </row>
    <row r="51" spans="2:14" ht="16.5" hidden="1">
      <c r="B51" s="521">
        <v>46</v>
      </c>
      <c r="C51" s="527" t="s">
        <v>303</v>
      </c>
      <c r="D51" s="528">
        <v>4</v>
      </c>
      <c r="E51" s="549" t="s">
        <v>140</v>
      </c>
      <c r="F51" s="530" t="s">
        <v>289</v>
      </c>
      <c r="G51" s="550" t="s">
        <v>215</v>
      </c>
      <c r="H51" s="532" t="str">
        <f>VLOOKUP(E51,MD!$C$6:$K$54,3,FALSE)</f>
        <v>Alps琨</v>
      </c>
      <c r="I51" s="532" t="s">
        <v>289</v>
      </c>
      <c r="J51" s="532" t="str">
        <f>VLOOKUP(G51,MD!$C$6:$K$54,3,FALSE)</f>
        <v>隨心96ers</v>
      </c>
      <c r="K51" s="466"/>
      <c r="L51" s="466"/>
      <c r="M51" s="466"/>
      <c r="N51" s="466"/>
    </row>
    <row r="52" spans="2:14" ht="16.5" hidden="1">
      <c r="B52" s="526">
        <v>47</v>
      </c>
      <c r="C52" s="527" t="s">
        <v>303</v>
      </c>
      <c r="D52" s="528">
        <v>5</v>
      </c>
      <c r="E52" s="549" t="s">
        <v>201</v>
      </c>
      <c r="F52" s="530" t="s">
        <v>289</v>
      </c>
      <c r="G52" s="550" t="s">
        <v>215</v>
      </c>
      <c r="H52" s="532" t="str">
        <f>VLOOKUP(E52,MD!$C$6:$K$54,3,FALSE)</f>
        <v>隨心 2</v>
      </c>
      <c r="I52" s="532" t="s">
        <v>289</v>
      </c>
      <c r="J52" s="532" t="str">
        <f>VLOOKUP(G52,MD!$C$6:$K$54,3,FALSE)</f>
        <v>隨心96ers</v>
      </c>
      <c r="K52" s="466"/>
      <c r="L52" s="466"/>
      <c r="M52" s="466"/>
      <c r="N52" s="466"/>
    </row>
    <row r="53" spans="2:14" ht="16.5" hidden="1">
      <c r="B53" s="521">
        <v>48</v>
      </c>
      <c r="C53" s="555" t="s">
        <v>303</v>
      </c>
      <c r="D53" s="536">
        <v>6</v>
      </c>
      <c r="E53" s="551" t="s">
        <v>137</v>
      </c>
      <c r="F53" s="538" t="s">
        <v>289</v>
      </c>
      <c r="G53" s="552" t="s">
        <v>140</v>
      </c>
      <c r="H53" s="532" t="str">
        <f>VLOOKUP(E53,MD!$C$6:$K$54,3,FALSE)</f>
        <v>撈碧鵰</v>
      </c>
      <c r="I53" s="546" t="s">
        <v>289</v>
      </c>
      <c r="J53" s="532" t="str">
        <f>VLOOKUP(G53,MD!$C$6:$K$54,3,FALSE)</f>
        <v>Alps琨</v>
      </c>
      <c r="K53" s="466"/>
      <c r="L53" s="466"/>
      <c r="M53" s="466"/>
      <c r="N53" s="466"/>
    </row>
    <row r="54" spans="2:8" ht="16.5" hidden="1">
      <c r="B54" s="556"/>
      <c r="C54" s="556"/>
      <c r="D54" s="556"/>
      <c r="E54" s="556"/>
      <c r="F54" s="556"/>
      <c r="G54" s="556"/>
      <c r="H54" s="520" t="str">
        <f>VLOOKUP(E54,'[2]MD'!$B$6:$H$95,3,FALSE)</f>
        <v>仁二</v>
      </c>
    </row>
    <row r="55" ht="16.5">
      <c r="L55" s="511" t="s">
        <v>437</v>
      </c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cp:keywords/>
  <dc:description/>
  <cp:lastModifiedBy>VBAHK-AIO</cp:lastModifiedBy>
  <cp:lastPrinted>2019-03-01T06:11:32Z</cp:lastPrinted>
  <dcterms:created xsi:type="dcterms:W3CDTF">2019-02-15T12:27:51Z</dcterms:created>
  <dcterms:modified xsi:type="dcterms:W3CDTF">2019-05-06T02:57:16Z</dcterms:modified>
  <cp:category/>
  <cp:version/>
  <cp:contentType/>
  <cp:contentStatus/>
</cp:coreProperties>
</file>